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Youtube Post\fy 2023-24\Jan 2024\"/>
    </mc:Choice>
  </mc:AlternateContent>
  <xr:revisionPtr revIDLastSave="0" documentId="13_ncr:1_{CB955B3A-7F97-414E-B60B-4D74D596907B}" xr6:coauthVersionLast="47" xr6:coauthVersionMax="47" xr10:uidLastSave="{00000000-0000-0000-0000-000000000000}"/>
  <bookViews>
    <workbookView xWindow="-120" yWindow="-120" windowWidth="29040" windowHeight="15840" firstSheet="2" activeTab="11" xr2:uid="{00000000-000D-0000-FFFF-FFFF00000000}"/>
  </bookViews>
  <sheets>
    <sheet name="Index" sheetId="12" r:id="rId1"/>
    <sheet name="PROJECT AT GLANCE" sheetId="11" r:id="rId2"/>
    <sheet name="Cost" sheetId="29" r:id="rId3"/>
    <sheet name="profit" sheetId="9" r:id="rId4"/>
    <sheet name="Cash" sheetId="8" r:id="rId5"/>
    <sheet name="Balance sheet " sheetId="32" r:id="rId6"/>
    <sheet name="BEP" sheetId="18" r:id="rId7"/>
    <sheet name="Annex 6DSCR" sheetId="15" r:id="rId8"/>
    <sheet name="Annex 7 ROI" sheetId="14" r:id="rId9"/>
    <sheet name="Interest schedule" sheetId="33" r:id="rId10"/>
    <sheet name="Producation Statement " sheetId="34" r:id="rId11"/>
    <sheet name="Dep " sheetId="35" r:id="rId12"/>
  </sheets>
  <definedNames>
    <definedName name="_xlnm.Print_Area" localSheetId="4">Cash!$A$1:$H$45</definedName>
    <definedName name="_xlnm.Print_Area" localSheetId="2">Cost!$A$1:$C$28</definedName>
    <definedName name="_xlnm.Print_Area" localSheetId="3">profit!$A$1:$F$38</definedName>
  </definedNames>
  <calcPr calcId="181029"/>
</workbook>
</file>

<file path=xl/calcChain.xml><?xml version="1.0" encoding="utf-8"?>
<calcChain xmlns="http://schemas.openxmlformats.org/spreadsheetml/2006/main">
  <c r="F14" i="35" l="1"/>
  <c r="G34" i="35"/>
  <c r="G22" i="35" l="1"/>
  <c r="G21" i="35"/>
  <c r="G20" i="35"/>
  <c r="G19" i="35"/>
  <c r="G18" i="35"/>
  <c r="G16" i="35"/>
  <c r="G13" i="35"/>
  <c r="G35" i="35"/>
  <c r="G33" i="35"/>
  <c r="G32" i="35"/>
  <c r="G30" i="35"/>
  <c r="G29" i="35"/>
  <c r="D34" i="35"/>
  <c r="F35" i="35"/>
  <c r="F21" i="35"/>
  <c r="F33" i="35"/>
  <c r="F31" i="35"/>
  <c r="F17" i="35"/>
  <c r="F27" i="35"/>
  <c r="F26" i="35"/>
  <c r="F13" i="35" s="1"/>
  <c r="F22" i="35"/>
  <c r="F20" i="35"/>
  <c r="F19" i="35"/>
  <c r="F18" i="35"/>
  <c r="F16" i="35"/>
  <c r="F15" i="35"/>
  <c r="D16" i="35"/>
  <c r="D15" i="35"/>
  <c r="D20" i="35"/>
  <c r="F36" i="35" l="1"/>
  <c r="G36" i="35" l="1"/>
  <c r="C35" i="35"/>
  <c r="C32" i="35"/>
  <c r="C31" i="35"/>
  <c r="D35" i="35"/>
  <c r="C33" i="35" l="1"/>
  <c r="C36" i="35" s="1"/>
  <c r="C23" i="35"/>
  <c r="D23" i="35" l="1"/>
  <c r="D33" i="35" l="1"/>
  <c r="D36" i="35" s="1"/>
  <c r="E33" i="35" l="1"/>
  <c r="E36" i="35" s="1"/>
  <c r="E23" i="35"/>
  <c r="F23" i="35" l="1"/>
  <c r="G23" i="35" l="1"/>
  <c r="G50" i="32" l="1"/>
  <c r="F50" i="32"/>
  <c r="F32" i="32"/>
  <c r="G37" i="32"/>
  <c r="F37" i="32"/>
  <c r="E37" i="32"/>
  <c r="E30" i="32"/>
  <c r="D54" i="32"/>
  <c r="C54" i="32"/>
  <c r="F24" i="9"/>
  <c r="E24" i="9"/>
  <c r="D24" i="9"/>
  <c r="E13" i="9"/>
  <c r="F36" i="9" l="1"/>
  <c r="E36" i="9"/>
  <c r="D36" i="9"/>
  <c r="D27" i="33"/>
  <c r="D25" i="33"/>
  <c r="D24" i="33"/>
  <c r="D23" i="33"/>
  <c r="D22" i="33"/>
  <c r="D20" i="33"/>
  <c r="D19" i="33"/>
  <c r="D18" i="33"/>
  <c r="D17" i="33"/>
  <c r="D15" i="33"/>
  <c r="D14" i="33"/>
  <c r="D13" i="33"/>
  <c r="D12" i="33"/>
  <c r="D10" i="33"/>
  <c r="D9" i="33"/>
  <c r="D8" i="33"/>
  <c r="F8" i="33" s="1"/>
  <c r="D7" i="33"/>
  <c r="F7" i="33" s="1"/>
  <c r="E8" i="33"/>
  <c r="E7" i="33"/>
  <c r="C16" i="34"/>
  <c r="C24" i="34" s="1"/>
  <c r="C28" i="34" s="1"/>
  <c r="C34" i="34" s="1"/>
  <c r="E20" i="34"/>
  <c r="E16" i="34"/>
  <c r="G28" i="34"/>
  <c r="G34" i="34" s="1"/>
  <c r="F28" i="34"/>
  <c r="F34" i="34" s="1"/>
  <c r="E28" i="34"/>
  <c r="D28" i="34"/>
  <c r="E34" i="34"/>
  <c r="D34" i="34"/>
  <c r="F20" i="34"/>
  <c r="E24" i="34"/>
  <c r="F16" i="34" s="1"/>
  <c r="D16" i="34"/>
  <c r="D24" i="34" s="1"/>
  <c r="E50" i="32"/>
  <c r="G49" i="32"/>
  <c r="F49" i="32"/>
  <c r="E49" i="32"/>
  <c r="C51" i="32"/>
  <c r="G19" i="32"/>
  <c r="F24" i="34" l="1"/>
  <c r="F18" i="32"/>
  <c r="G16" i="34" l="1"/>
  <c r="G24" i="34" s="1"/>
  <c r="G20" i="34"/>
  <c r="E19" i="32"/>
  <c r="D18" i="32"/>
  <c r="C19" i="32"/>
  <c r="E17" i="32"/>
  <c r="D17" i="32"/>
  <c r="C17" i="32"/>
  <c r="E8" i="32"/>
  <c r="D8" i="32"/>
  <c r="C8" i="32"/>
  <c r="D28" i="9"/>
  <c r="F12" i="9" l="1"/>
  <c r="E8" i="9" l="1"/>
  <c r="D12" i="9" l="1"/>
  <c r="E16" i="9"/>
  <c r="D31" i="33" l="1"/>
  <c r="D26" i="33"/>
  <c r="D21" i="33"/>
  <c r="D16" i="33"/>
  <c r="D11" i="33"/>
  <c r="C8" i="33"/>
  <c r="B2" i="34"/>
  <c r="D33" i="33" l="1"/>
  <c r="C9" i="33"/>
  <c r="E9" i="33" l="1"/>
  <c r="C10" i="33" s="1"/>
  <c r="F9" i="33"/>
  <c r="F10" i="33" l="1"/>
  <c r="E10" i="33"/>
  <c r="C12" i="33" s="1"/>
  <c r="F11" i="33" l="1"/>
  <c r="E12" i="33"/>
  <c r="C13" i="33" s="1"/>
  <c r="F12" i="33"/>
  <c r="F13" i="33" l="1"/>
  <c r="E13" i="33"/>
  <c r="C14" i="33" s="1"/>
  <c r="F14" i="33" l="1"/>
  <c r="E14" i="33"/>
  <c r="C15" i="33" s="1"/>
  <c r="F15" i="33" l="1"/>
  <c r="F16" i="33" s="1"/>
  <c r="E15" i="33"/>
  <c r="C17" i="33" s="1"/>
  <c r="F17" i="33" l="1"/>
  <c r="E17" i="33"/>
  <c r="C18" i="33" s="1"/>
  <c r="F18" i="33" l="1"/>
  <c r="E18" i="33"/>
  <c r="C19" i="33" s="1"/>
  <c r="E19" i="33" l="1"/>
  <c r="C20" i="33" s="1"/>
  <c r="F19" i="33"/>
  <c r="F20" i="33" l="1"/>
  <c r="F21" i="33" s="1"/>
  <c r="E20" i="33"/>
  <c r="C22" i="33" s="1"/>
  <c r="E22" i="33" l="1"/>
  <c r="C23" i="33" s="1"/>
  <c r="F22" i="33"/>
  <c r="F23" i="33" l="1"/>
  <c r="E23" i="33"/>
  <c r="C24" i="33" s="1"/>
  <c r="F24" i="33" l="1"/>
  <c r="E24" i="33"/>
  <c r="C25" i="33" s="1"/>
  <c r="F25" i="33" l="1"/>
  <c r="F26" i="33" s="1"/>
  <c r="E25" i="33"/>
  <c r="C27" i="33" s="1"/>
  <c r="E27" i="33" l="1"/>
  <c r="C28" i="33" s="1"/>
  <c r="F27" i="33"/>
  <c r="F28" i="33" l="1"/>
  <c r="E28" i="33"/>
  <c r="C29" i="33" s="1"/>
  <c r="E29" i="33" l="1"/>
  <c r="C30" i="33" s="1"/>
  <c r="F29" i="33"/>
  <c r="F30" i="33" l="1"/>
  <c r="F31" i="33" s="1"/>
  <c r="F33" i="33" s="1"/>
  <c r="E30" i="33"/>
  <c r="F13" i="9" l="1"/>
  <c r="F8" i="9"/>
  <c r="D13" i="9"/>
  <c r="F7" i="9"/>
  <c r="E7" i="9"/>
  <c r="D7" i="9"/>
  <c r="E44" i="11"/>
  <c r="D44" i="11"/>
  <c r="E43" i="11"/>
  <c r="D43" i="11"/>
  <c r="E42" i="11"/>
  <c r="D42" i="11"/>
  <c r="A1" i="9" l="1"/>
  <c r="D4" i="11"/>
  <c r="C32" i="14"/>
  <c r="B32" i="14"/>
  <c r="C28" i="14"/>
  <c r="B28" i="14"/>
  <c r="F21" i="14"/>
  <c r="E21" i="14"/>
  <c r="D21" i="14"/>
  <c r="C21" i="14"/>
  <c r="B21" i="14"/>
  <c r="F19" i="14"/>
  <c r="E19" i="14"/>
  <c r="D19" i="14"/>
  <c r="C19" i="14"/>
  <c r="B19" i="14"/>
  <c r="C17" i="14"/>
  <c r="B17" i="14"/>
  <c r="F14" i="15"/>
  <c r="E14" i="15"/>
  <c r="D14" i="15"/>
  <c r="C14" i="15"/>
  <c r="B14" i="15"/>
  <c r="F10" i="15"/>
  <c r="E10" i="15"/>
  <c r="D10" i="15"/>
  <c r="C10" i="15"/>
  <c r="B10" i="15"/>
  <c r="F9" i="15"/>
  <c r="E9" i="15"/>
  <c r="D9" i="15"/>
  <c r="C9" i="15"/>
  <c r="B9" i="15"/>
  <c r="C8" i="15"/>
  <c r="B8" i="15"/>
  <c r="B20" i="18"/>
  <c r="B18" i="18"/>
  <c r="C9" i="18"/>
  <c r="B9" i="18"/>
  <c r="C7" i="18"/>
  <c r="B7" i="18"/>
  <c r="F14" i="18"/>
  <c r="E14" i="18"/>
  <c r="D14" i="18"/>
  <c r="C14" i="18"/>
  <c r="B14" i="18"/>
  <c r="F13" i="18"/>
  <c r="E13" i="18"/>
  <c r="D13" i="18"/>
  <c r="C13" i="18"/>
  <c r="B13" i="18"/>
  <c r="D50" i="32"/>
  <c r="C50" i="32"/>
  <c r="D32" i="8" s="1"/>
  <c r="D31" i="8"/>
  <c r="D30" i="8"/>
  <c r="D29" i="8"/>
  <c r="D23" i="8"/>
  <c r="D16" i="8"/>
  <c r="D15" i="8"/>
  <c r="D42" i="8"/>
  <c r="C18" i="18" l="1"/>
  <c r="C20" i="18" s="1"/>
  <c r="C22" i="18" s="1"/>
  <c r="C25" i="18" s="1"/>
  <c r="B22" i="18"/>
  <c r="B25" i="18" s="1"/>
  <c r="H33" i="8"/>
  <c r="G33" i="8"/>
  <c r="F33" i="8"/>
  <c r="E33" i="8"/>
  <c r="D33" i="8"/>
  <c r="H31" i="8"/>
  <c r="G31" i="8"/>
  <c r="F31" i="8"/>
  <c r="E31" i="8"/>
  <c r="H30" i="8"/>
  <c r="G30" i="8"/>
  <c r="F30" i="8"/>
  <c r="E30" i="8"/>
  <c r="H23" i="8"/>
  <c r="G23" i="8"/>
  <c r="G26" i="8" s="1"/>
  <c r="F23" i="8"/>
  <c r="F26" i="8" s="1"/>
  <c r="E23" i="8"/>
  <c r="H16" i="8"/>
  <c r="G16" i="8"/>
  <c r="F16" i="8"/>
  <c r="E16" i="8"/>
  <c r="H15" i="8"/>
  <c r="G15" i="8"/>
  <c r="F15" i="8"/>
  <c r="E15" i="8"/>
  <c r="H14" i="8"/>
  <c r="G14" i="8"/>
  <c r="F14" i="8"/>
  <c r="E14" i="8"/>
  <c r="D14" i="8"/>
  <c r="H13" i="8"/>
  <c r="G13" i="8"/>
  <c r="F13" i="8"/>
  <c r="E13" i="8"/>
  <c r="G51" i="32"/>
  <c r="F51" i="32"/>
  <c r="H42" i="8" s="1"/>
  <c r="E51" i="32"/>
  <c r="G42" i="8" s="1"/>
  <c r="D51" i="32"/>
  <c r="F42" i="8" s="1"/>
  <c r="E42" i="8"/>
  <c r="E32" i="8"/>
  <c r="D32" i="32"/>
  <c r="E29" i="8" s="1"/>
  <c r="F30" i="32"/>
  <c r="H32" i="8" l="1"/>
  <c r="F29" i="8"/>
  <c r="H29" i="8"/>
  <c r="G32" i="8"/>
  <c r="E36" i="8"/>
  <c r="G29" i="8"/>
  <c r="F32" i="8"/>
  <c r="G36" i="8" l="1"/>
  <c r="H36" i="8"/>
  <c r="F36" i="8"/>
  <c r="C20" i="32" l="1"/>
  <c r="G10" i="32"/>
  <c r="F10" i="32"/>
  <c r="E10" i="32"/>
  <c r="D10" i="32"/>
  <c r="C10" i="32"/>
  <c r="G9" i="32"/>
  <c r="F9" i="32"/>
  <c r="E9" i="32"/>
  <c r="D9" i="32"/>
  <c r="C9" i="32"/>
  <c r="H12" i="8"/>
  <c r="G12" i="8"/>
  <c r="F12" i="8"/>
  <c r="E12" i="8"/>
  <c r="D12" i="8"/>
  <c r="E11" i="8"/>
  <c r="E19" i="8" s="1"/>
  <c r="D11" i="8"/>
  <c r="D19" i="8" s="1"/>
  <c r="H22" i="8"/>
  <c r="H26" i="8" s="1"/>
  <c r="E22" i="8"/>
  <c r="E26" i="8" s="1"/>
  <c r="D22" i="8"/>
  <c r="D26" i="8" s="1"/>
  <c r="C27" i="32" l="1"/>
  <c r="E39" i="8"/>
  <c r="E43" i="8" s="1"/>
  <c r="C11" i="32"/>
  <c r="D11" i="32"/>
  <c r="D16" i="32"/>
  <c r="D20" i="32" s="1"/>
  <c r="D36" i="8"/>
  <c r="D27" i="32" l="1"/>
  <c r="D39" i="32" s="1"/>
  <c r="C53" i="32"/>
  <c r="C39" i="32"/>
  <c r="D53" i="32"/>
  <c r="D39" i="8"/>
  <c r="D43" i="8" s="1"/>
  <c r="E16" i="32"/>
  <c r="E53" i="32" l="1"/>
  <c r="D15" i="9" l="1"/>
  <c r="C24" i="9"/>
  <c r="C21" i="9"/>
  <c r="C28" i="9"/>
  <c r="C16" i="9"/>
  <c r="C13" i="9"/>
  <c r="F15" i="9"/>
  <c r="E15" i="9"/>
  <c r="C15" i="9"/>
  <c r="B28" i="9"/>
  <c r="B24" i="9"/>
  <c r="B17" i="9"/>
  <c r="G23" i="11"/>
  <c r="C17" i="29" s="1"/>
  <c r="G22" i="11"/>
  <c r="C15" i="29" s="1"/>
  <c r="G21" i="11"/>
  <c r="G25" i="11" l="1"/>
  <c r="G26" i="11" s="1"/>
  <c r="C19" i="29" s="1"/>
  <c r="C21" i="29" s="1"/>
  <c r="C13" i="29"/>
  <c r="G28" i="11" l="1"/>
  <c r="C7" i="29" s="1"/>
  <c r="A15" i="29"/>
  <c r="A17" i="29"/>
  <c r="E32" i="11" l="1"/>
  <c r="C25" i="29" s="1"/>
  <c r="C28" i="29" s="1"/>
  <c r="B10" i="9"/>
  <c r="D10" i="9"/>
  <c r="D7" i="18" s="1"/>
  <c r="C10" i="9"/>
  <c r="A13" i="29"/>
  <c r="A1" i="29"/>
  <c r="B1" i="8" s="1"/>
  <c r="D1" i="32" s="1"/>
  <c r="A1" i="18" s="1"/>
  <c r="A1" i="15" s="1"/>
  <c r="E35" i="11" l="1"/>
  <c r="A1" i="14"/>
  <c r="A1" i="35" s="1"/>
  <c r="B15" i="18" l="1"/>
  <c r="F10" i="9"/>
  <c r="F7" i="18" s="1"/>
  <c r="E10" i="9"/>
  <c r="E7" i="18" s="1"/>
  <c r="B19" i="9" l="1"/>
  <c r="B26" i="9" s="1"/>
  <c r="C15" i="18" l="1"/>
  <c r="D15" i="18"/>
  <c r="F15" i="18"/>
  <c r="E15" i="18"/>
  <c r="B16" i="18" l="1"/>
  <c r="B15" i="15"/>
  <c r="B17" i="15" s="1"/>
  <c r="B20" i="15" l="1"/>
  <c r="D41" i="11" s="1"/>
  <c r="D40" i="11"/>
  <c r="B30" i="9"/>
  <c r="B24" i="14"/>
  <c r="B11" i="15" l="1"/>
  <c r="B34" i="9"/>
  <c r="B38" i="9" s="1"/>
  <c r="C15" i="15" l="1"/>
  <c r="C17" i="15" s="1"/>
  <c r="E40" i="11" s="1"/>
  <c r="D15" i="15" l="1"/>
  <c r="D17" i="15" s="1"/>
  <c r="E15" i="15" l="1"/>
  <c r="E17" i="15" s="1"/>
  <c r="E28" i="29" l="1"/>
  <c r="C16" i="18"/>
  <c r="F15" i="15" l="1"/>
  <c r="F17" i="15" s="1"/>
  <c r="C17" i="9"/>
  <c r="C19" i="9" s="1"/>
  <c r="C26" i="9" s="1"/>
  <c r="D17" i="9"/>
  <c r="D16" i="18"/>
  <c r="D19" i="9" l="1"/>
  <c r="D9" i="18"/>
  <c r="D18" i="18" s="1"/>
  <c r="D20" i="18" s="1"/>
  <c r="D22" i="18" s="1"/>
  <c r="D25" i="18" s="1"/>
  <c r="F42" i="11"/>
  <c r="C24" i="14"/>
  <c r="C30" i="9"/>
  <c r="E17" i="9"/>
  <c r="E16" i="18"/>
  <c r="E19" i="9" l="1"/>
  <c r="E9" i="18"/>
  <c r="E18" i="18" s="1"/>
  <c r="E20" i="18" s="1"/>
  <c r="E22" i="18" s="1"/>
  <c r="E25" i="18" s="1"/>
  <c r="D26" i="9"/>
  <c r="C11" i="15"/>
  <c r="C20" i="15" s="1"/>
  <c r="E41" i="11" s="1"/>
  <c r="C34" i="9"/>
  <c r="C38" i="9" s="1"/>
  <c r="F16" i="18"/>
  <c r="D30" i="9" l="1"/>
  <c r="E26" i="9"/>
  <c r="G42" i="11"/>
  <c r="E20" i="32"/>
  <c r="F40" i="11" s="1"/>
  <c r="F43" i="11"/>
  <c r="E11" i="32"/>
  <c r="D17" i="14"/>
  <c r="D24" i="14" s="1"/>
  <c r="D28" i="14" s="1"/>
  <c r="D32" i="14" s="1"/>
  <c r="F44" i="11" s="1"/>
  <c r="F17" i="9"/>
  <c r="E28" i="9" l="1"/>
  <c r="E30" i="9" s="1"/>
  <c r="F8" i="32"/>
  <c r="F11" i="32" s="1"/>
  <c r="F17" i="32" s="1"/>
  <c r="F11" i="8"/>
  <c r="F19" i="8" s="1"/>
  <c r="F39" i="8" s="1"/>
  <c r="F43" i="8" s="1"/>
  <c r="D34" i="9"/>
  <c r="D38" i="9" s="1"/>
  <c r="F16" i="32"/>
  <c r="E27" i="32"/>
  <c r="E39" i="32" s="1"/>
  <c r="E54" i="32" s="1"/>
  <c r="E17" i="14"/>
  <c r="E24" i="14" s="1"/>
  <c r="E28" i="14" s="1"/>
  <c r="E32" i="14" s="1"/>
  <c r="G44" i="11" s="1"/>
  <c r="G43" i="11"/>
  <c r="D8" i="15"/>
  <c r="D11" i="15" s="1"/>
  <c r="D20" i="15" s="1"/>
  <c r="F41" i="11" s="1"/>
  <c r="F19" i="9"/>
  <c r="F9" i="18"/>
  <c r="F18" i="18" s="1"/>
  <c r="F20" i="18" s="1"/>
  <c r="F22" i="18" s="1"/>
  <c r="F25" i="18" s="1"/>
  <c r="F53" i="32"/>
  <c r="F20" i="32" l="1"/>
  <c r="G40" i="11" s="1"/>
  <c r="G11" i="8"/>
  <c r="G19" i="8" s="1"/>
  <c r="G39" i="8" s="1"/>
  <c r="G43" i="8" s="1"/>
  <c r="E34" i="9"/>
  <c r="E38" i="9" s="1"/>
  <c r="E8" i="15"/>
  <c r="E11" i="15" s="1"/>
  <c r="E20" i="15" s="1"/>
  <c r="G41" i="11" s="1"/>
  <c r="F26" i="9"/>
  <c r="H42" i="11"/>
  <c r="F28" i="9" l="1"/>
  <c r="F30" i="9" s="1"/>
  <c r="G8" i="32"/>
  <c r="G11" i="32" s="1"/>
  <c r="G17" i="32" s="1"/>
  <c r="F27" i="32"/>
  <c r="F39" i="32" s="1"/>
  <c r="F54" i="32" s="1"/>
  <c r="G16" i="32"/>
  <c r="F17" i="14"/>
  <c r="F24" i="14" s="1"/>
  <c r="F28" i="14" s="1"/>
  <c r="F32" i="14" s="1"/>
  <c r="H44" i="11" s="1"/>
  <c r="H43" i="11"/>
  <c r="G53" i="32"/>
  <c r="G20" i="32" l="1"/>
  <c r="G27" i="32" s="1"/>
  <c r="G39" i="32" s="1"/>
  <c r="G54" i="32" s="1"/>
  <c r="H11" i="8"/>
  <c r="H19" i="8" s="1"/>
  <c r="H39" i="8" s="1"/>
  <c r="H43" i="8" s="1"/>
  <c r="F8" i="15"/>
  <c r="F11" i="15" s="1"/>
  <c r="F20" i="15" s="1"/>
  <c r="H41" i="11" s="1"/>
  <c r="F34" i="9"/>
  <c r="F38" i="9" s="1"/>
  <c r="H40" i="11" l="1"/>
</calcChain>
</file>

<file path=xl/sharedStrings.xml><?xml version="1.0" encoding="utf-8"?>
<sst xmlns="http://schemas.openxmlformats.org/spreadsheetml/2006/main" count="338" uniqueCount="253">
  <si>
    <t>Constitution</t>
  </si>
  <si>
    <t>Cost of the Project</t>
  </si>
  <si>
    <t>Depreciation</t>
  </si>
  <si>
    <t>Profit before tax</t>
  </si>
  <si>
    <t>PROJECTIONS AND PROFITABILITY STATEMENT</t>
  </si>
  <si>
    <t>PARTICULARS</t>
  </si>
  <si>
    <t xml:space="preserve">     Depreciation</t>
  </si>
  <si>
    <t>C.  Gross Profit [ A - B ]</t>
  </si>
  <si>
    <t>F.  Profit before Tax[ C - (D+E) ]</t>
  </si>
  <si>
    <t>G.  Income Tax</t>
  </si>
  <si>
    <t>J.   Cash Accruals ( H + I )</t>
  </si>
  <si>
    <t xml:space="preserve"> </t>
  </si>
  <si>
    <t>D.  Interest: on term loan</t>
  </si>
  <si>
    <t>PROJECT AT GLANCE :</t>
  </si>
  <si>
    <t>Name</t>
  </si>
  <si>
    <t>:</t>
  </si>
  <si>
    <t>I  N  D  E  X</t>
  </si>
  <si>
    <t>Address</t>
  </si>
  <si>
    <t>SL.</t>
  </si>
  <si>
    <t>C O N T E N T S</t>
  </si>
  <si>
    <t>CHAPTER :</t>
  </si>
  <si>
    <t>PROJECT AT GLANCE</t>
  </si>
  <si>
    <t>Cost of the project</t>
  </si>
  <si>
    <t xml:space="preserve">           (Rs. In Lakhs)</t>
  </si>
  <si>
    <t>Particulars</t>
  </si>
  <si>
    <t>Total</t>
  </si>
  <si>
    <t>COST OF THE PROJECT AND MEANS OF FINANCE</t>
  </si>
  <si>
    <t>CASH - FLOW STATEMENT</t>
  </si>
  <si>
    <t>Means of Finance</t>
  </si>
  <si>
    <t>Promoters Contribution</t>
  </si>
  <si>
    <t>BREAK EVEN ANALYSIS</t>
  </si>
  <si>
    <t>Debt Equity Ratio</t>
  </si>
  <si>
    <t>DEBT COVERAGE RATIO</t>
  </si>
  <si>
    <t>ANALYSIS ON RETURN ON INVESTMENT</t>
  </si>
  <si>
    <t xml:space="preserve"> BREAK-EVEN ANALYSIS</t>
  </si>
  <si>
    <t>ANALYSIS OF RETURN ON INVESTMENT :</t>
  </si>
  <si>
    <t xml:space="preserve">      Profit after tax</t>
  </si>
  <si>
    <t xml:space="preserve">      Depreciation</t>
  </si>
  <si>
    <t xml:space="preserve">      Interest on term loan</t>
  </si>
  <si>
    <t>RETURN ON INVESTMENT  :</t>
  </si>
  <si>
    <t>COST OF THE PROJECT AND MEANS OF FINANCE:</t>
  </si>
  <si>
    <t xml:space="preserve">      Term loan installment </t>
  </si>
  <si>
    <t>Brief details of the project cost is given below</t>
  </si>
  <si>
    <t>The project cost has been estimated at Rs.</t>
  </si>
  <si>
    <t>Gross Profit Ratio</t>
  </si>
  <si>
    <t>Net Profit Ratio</t>
  </si>
  <si>
    <t>Nature of Business</t>
  </si>
  <si>
    <t>L. Repayment of Term Loan</t>
  </si>
  <si>
    <t>BALANCE SHEET</t>
  </si>
  <si>
    <t>3.   Capital Employed            =</t>
  </si>
  <si>
    <t xml:space="preserve">    Capital Employed</t>
  </si>
  <si>
    <t>Profit before tax + Depreciation + Interest on term loan</t>
  </si>
  <si>
    <t>DEBT SERVICE COVERAGE RATIO :</t>
  </si>
  <si>
    <t xml:space="preserve">C   Debt Service Coverage Ratio </t>
  </si>
  <si>
    <t>Debt Coverage Ratio</t>
  </si>
  <si>
    <t>Return on Investment</t>
  </si>
  <si>
    <t>Interest on Term Loan</t>
  </si>
  <si>
    <t xml:space="preserve">     [ Without Depreciation]</t>
  </si>
  <si>
    <t xml:space="preserve">      TOTAL OF ' B '</t>
  </si>
  <si>
    <t xml:space="preserve">      Interest on Term Loan</t>
  </si>
  <si>
    <t>I.   Depreciation added back</t>
  </si>
  <si>
    <t>H. Profit after Tax (  F-G )</t>
  </si>
  <si>
    <t xml:space="preserve">      DSCR        [ A / B ]</t>
  </si>
  <si>
    <t>Reg.Office:</t>
  </si>
  <si>
    <t>Term Loan from Bank / Institution</t>
  </si>
  <si>
    <t xml:space="preserve">      TOTAL OF ' A '</t>
  </si>
  <si>
    <t xml:space="preserve">#  Average Return        </t>
  </si>
  <si>
    <t xml:space="preserve">#  Capital Employed   </t>
  </si>
  <si>
    <t>(Rs. In Lakhs)</t>
  </si>
  <si>
    <t xml:space="preserve">     Interest on Term Loan</t>
  </si>
  <si>
    <t xml:space="preserve">     Administration Expenses</t>
  </si>
  <si>
    <t>M.  Net Cash A'ble   (J - K))</t>
  </si>
  <si>
    <t>O P E R T I N G  Y E A R S</t>
  </si>
  <si>
    <t xml:space="preserve">  Average Return  x 100</t>
  </si>
  <si>
    <t xml:space="preserve">#  Return on Investment   </t>
  </si>
  <si>
    <t>Operating years</t>
  </si>
  <si>
    <t>Operating Years</t>
  </si>
  <si>
    <t>In Lakhs</t>
  </si>
  <si>
    <t xml:space="preserve">     Cost of Operations</t>
  </si>
  <si>
    <t>Current Assets</t>
  </si>
  <si>
    <t>A.  Receipts</t>
  </si>
  <si>
    <t>Years</t>
  </si>
  <si>
    <r>
      <t xml:space="preserve">A.   </t>
    </r>
    <r>
      <rPr>
        <b/>
        <sz val="11"/>
        <rFont val="Times New Roman"/>
        <family val="1"/>
      </rPr>
      <t>SOURCES</t>
    </r>
    <r>
      <rPr>
        <sz val="11"/>
        <rFont val="Times New Roman"/>
        <family val="1"/>
      </rPr>
      <t xml:space="preserve"> :</t>
    </r>
  </si>
  <si>
    <r>
      <t xml:space="preserve">B    </t>
    </r>
    <r>
      <rPr>
        <b/>
        <sz val="11"/>
        <rFont val="Times New Roman"/>
        <family val="1"/>
      </rPr>
      <t>DEBT</t>
    </r>
    <r>
      <rPr>
        <sz val="11"/>
        <rFont val="Times New Roman"/>
        <family val="1"/>
      </rPr>
      <t xml:space="preserve"> :</t>
    </r>
  </si>
  <si>
    <r>
      <t xml:space="preserve">B.  </t>
    </r>
    <r>
      <rPr>
        <b/>
        <sz val="11"/>
        <rFont val="Times New Roman"/>
        <family val="1"/>
      </rPr>
      <t>Variable cost</t>
    </r>
    <r>
      <rPr>
        <sz val="11"/>
        <rFont val="Times New Roman"/>
        <family val="1"/>
      </rPr>
      <t>:</t>
    </r>
  </si>
  <si>
    <t>1. Return on Investment       =</t>
  </si>
  <si>
    <t>Manufacturing</t>
  </si>
  <si>
    <t>Promoter Contribution</t>
  </si>
  <si>
    <t xml:space="preserve">Total </t>
  </si>
  <si>
    <t>E.  Selling  &amp; Admin. Exp. ( Increase 5% every Year)</t>
  </si>
  <si>
    <t>Proprietorship</t>
  </si>
  <si>
    <t xml:space="preserve">Proprietor </t>
  </si>
  <si>
    <t>Value</t>
  </si>
  <si>
    <t>Qty</t>
  </si>
  <si>
    <t>Double Head Laser Cutting Machine with
Projector 1600 X 1000mm</t>
  </si>
  <si>
    <t>Heat Press Fusing Machine 1600mm</t>
  </si>
  <si>
    <t>Fully Computerized High Speed Flat Knitting
Machine 14GG X 36’’ 3 System With Needles &amp;Accessories</t>
  </si>
  <si>
    <t xml:space="preserve">Amount </t>
  </si>
  <si>
    <t>GST@18%</t>
  </si>
  <si>
    <t>Applicable GST@18%</t>
  </si>
  <si>
    <t>Purchae of raw materials</t>
  </si>
  <si>
    <t>Consumble Purchase &amp; Exp</t>
  </si>
  <si>
    <t>Wages &amp; Salary</t>
  </si>
  <si>
    <t>Power Charges ( Electricity exp)</t>
  </si>
  <si>
    <t>Closing Inventory</t>
  </si>
  <si>
    <t>Opening Inventory</t>
  </si>
  <si>
    <t>Other Income</t>
  </si>
  <si>
    <t>OPERATING ACTIVITY</t>
  </si>
  <si>
    <t>Net Profit after Depreciation</t>
  </si>
  <si>
    <t>Add</t>
  </si>
  <si>
    <t>Changes in Creditors</t>
  </si>
  <si>
    <t>Expense of Finance Activity</t>
  </si>
  <si>
    <t>Changes in Inventory</t>
  </si>
  <si>
    <t>Less</t>
  </si>
  <si>
    <t>Changes in Debtors</t>
  </si>
  <si>
    <t>Income of Investment Activity</t>
  </si>
  <si>
    <t>OPERATING ACTIVITY -A</t>
  </si>
  <si>
    <t>TOTAL</t>
  </si>
  <si>
    <t>INVESTMENT ACTIVITY</t>
  </si>
  <si>
    <t>Income from Investments</t>
  </si>
  <si>
    <t>Changes in Fixed Assets</t>
  </si>
  <si>
    <t>Changes in Investments</t>
  </si>
  <si>
    <t>INVESTMENT ACTIVITY -B</t>
  </si>
  <si>
    <t>FINANCING ACTIVITY</t>
  </si>
  <si>
    <t>Changes in Loans Liability</t>
  </si>
  <si>
    <t>Changes in O/s Taxes</t>
  </si>
  <si>
    <t>Changes in Loans &amp; Advances</t>
  </si>
  <si>
    <t>Changes in Other Current Assets</t>
  </si>
  <si>
    <t>Interest Expense</t>
  </si>
  <si>
    <t>Reduction in Capital</t>
  </si>
  <si>
    <t>FINANCING ACTIVITY -C</t>
  </si>
  <si>
    <t>Cash &amp; Cash Equivalent</t>
  </si>
  <si>
    <t>D=(A+B+C)</t>
  </si>
  <si>
    <t>Opening Cash Balance</t>
  </si>
  <si>
    <t>E</t>
  </si>
  <si>
    <t>Closing Cash Balance</t>
  </si>
  <si>
    <t>F =(D+E)</t>
  </si>
  <si>
    <t>Particular</t>
  </si>
  <si>
    <t xml:space="preserve">CASH FLOW STATEMENT  </t>
  </si>
  <si>
    <t>Profit before Interest &amp; Depreciation</t>
  </si>
  <si>
    <t>Net Profit</t>
  </si>
  <si>
    <t>Opening Capital</t>
  </si>
  <si>
    <t>Drawings</t>
  </si>
  <si>
    <t>Closing Capital</t>
  </si>
  <si>
    <t>SOURCE OF FUNDS</t>
  </si>
  <si>
    <t>Capital A/c</t>
  </si>
  <si>
    <t>Loans Liability</t>
  </si>
  <si>
    <t>Secured Loans</t>
  </si>
  <si>
    <t>Unsecured Loans</t>
  </si>
  <si>
    <t>Current Liabilities &amp; Provisions</t>
  </si>
  <si>
    <t xml:space="preserve">Sundry Creditors </t>
  </si>
  <si>
    <t>Duties &amp; Taxes / Provisions</t>
  </si>
  <si>
    <t>APPLICATIONS OF FUNDS</t>
  </si>
  <si>
    <t>Investments</t>
  </si>
  <si>
    <t>Loans &amp; Advances</t>
  </si>
  <si>
    <t>Sundry Debtors</t>
  </si>
  <si>
    <t>Closing Stock</t>
  </si>
  <si>
    <t>Other Current Assets</t>
  </si>
  <si>
    <t>Cash &amp; Bank Balance</t>
  </si>
  <si>
    <t xml:space="preserve">PROFIT &amp; LOSS A/C </t>
  </si>
  <si>
    <t xml:space="preserve">CAPITAL A/C </t>
  </si>
  <si>
    <t xml:space="preserve">BALANCE SHEET  </t>
  </si>
  <si>
    <t>Interest on Loans</t>
  </si>
  <si>
    <t>Addittion</t>
  </si>
  <si>
    <t xml:space="preserve">Cash Credit/bank borrowing </t>
  </si>
  <si>
    <t xml:space="preserve">Fixed Assets </t>
  </si>
  <si>
    <t>STATEMENT NO.3</t>
  </si>
  <si>
    <t>STATEMENT NO.4</t>
  </si>
  <si>
    <t>Total  SOURCE OF FUNDS</t>
  </si>
  <si>
    <t>Total APPLICATION OF FUNDS</t>
  </si>
  <si>
    <t>Profit and loss A/c &amp; Balance sheet</t>
  </si>
  <si>
    <t>Other Current Liabilities</t>
  </si>
  <si>
    <r>
      <t xml:space="preserve">C.  </t>
    </r>
    <r>
      <rPr>
        <b/>
        <sz val="11"/>
        <rFont val="Times New Roman"/>
        <family val="1"/>
      </rPr>
      <t>Fixed costs:</t>
    </r>
  </si>
  <si>
    <t>D.  Contribution [ A - B ]</t>
  </si>
  <si>
    <t>F.  Break - even [ Value ]</t>
  </si>
  <si>
    <t>G.  Cash Break Even</t>
  </si>
  <si>
    <t>E.  P.V.Ratio [ D/B x 100 ]</t>
  </si>
  <si>
    <t xml:space="preserve">      [ C/ E x 100 ]</t>
  </si>
  <si>
    <t>STATEMENT NO.5</t>
  </si>
  <si>
    <t>STATEMENT NO.6</t>
  </si>
  <si>
    <t xml:space="preserve">Statement </t>
  </si>
  <si>
    <t>Statement  NO. 1</t>
  </si>
  <si>
    <t>STATEMENT NO. 2</t>
  </si>
  <si>
    <t>STATEMENT NO.7</t>
  </si>
  <si>
    <t xml:space="preserve"> ANNEXURE NO.8</t>
  </si>
  <si>
    <t>Sales ( Increase 20% Every year)</t>
  </si>
  <si>
    <t>(in % )</t>
  </si>
  <si>
    <t>INTEREST SCHEDULE</t>
  </si>
  <si>
    <t xml:space="preserve">              ( In INR )</t>
  </si>
  <si>
    <t xml:space="preserve">INTEREST SCHEDULE : </t>
  </si>
  <si>
    <t>QUARTERS</t>
  </si>
  <si>
    <t>OPENING</t>
  </si>
  <si>
    <t>LOAN</t>
  </si>
  <si>
    <t>CLOSING</t>
  </si>
  <si>
    <t>INTEREST</t>
  </si>
  <si>
    <t xml:space="preserve">INTEREST </t>
  </si>
  <si>
    <t>BALANCE</t>
  </si>
  <si>
    <t>REPAYMENT</t>
  </si>
  <si>
    <t>PER QTR.</t>
  </si>
  <si>
    <t>P.A.</t>
  </si>
  <si>
    <t xml:space="preserve">1st qtr </t>
  </si>
  <si>
    <t>0 Year</t>
  </si>
  <si>
    <t>2nd qtr</t>
  </si>
  <si>
    <t>3rd qtr</t>
  </si>
  <si>
    <t>4th qtr</t>
  </si>
  <si>
    <t>1st year</t>
  </si>
  <si>
    <t>2nd year</t>
  </si>
  <si>
    <t>3rd year</t>
  </si>
  <si>
    <t>4th year</t>
  </si>
  <si>
    <t xml:space="preserve">Net Total Total </t>
  </si>
  <si>
    <r>
      <t xml:space="preserve"> A.</t>
    </r>
    <r>
      <rPr>
        <b/>
        <sz val="11"/>
        <color theme="1"/>
        <rFont val="Times New Roman"/>
        <family val="1"/>
      </rPr>
      <t>INCOME</t>
    </r>
    <r>
      <rPr>
        <sz val="11"/>
        <color theme="1"/>
        <rFont val="Times New Roman"/>
        <family val="1"/>
      </rPr>
      <t>:</t>
    </r>
  </si>
  <si>
    <r>
      <t xml:space="preserve">B. </t>
    </r>
    <r>
      <rPr>
        <b/>
        <sz val="11"/>
        <color theme="1"/>
        <rFont val="Times New Roman"/>
        <family val="1"/>
      </rPr>
      <t xml:space="preserve">EXPENSES: </t>
    </r>
    <r>
      <rPr>
        <sz val="11"/>
        <color theme="1"/>
        <rFont val="Times New Roman"/>
        <family val="1"/>
      </rPr>
      <t>(Increase 5% every year)</t>
    </r>
  </si>
  <si>
    <t xml:space="preserve">2.   Return                           = </t>
  </si>
  <si>
    <t>Statement 9</t>
  </si>
  <si>
    <t xml:space="preserve">Production Statement </t>
  </si>
  <si>
    <t>Statement 10</t>
  </si>
  <si>
    <t xml:space="preserve">A. Existing Production </t>
  </si>
  <si>
    <t>D. Sales (CX120 Rs. )</t>
  </si>
  <si>
    <t>Production of Footwear items in (qty) X PCS</t>
  </si>
  <si>
    <t>C. Total Production In (qty) (A+B) X Pcs</t>
  </si>
  <si>
    <t>(The selling price is approximately Rs. 120/Pcs)</t>
  </si>
  <si>
    <t>Total  Sales (Approx)</t>
  </si>
  <si>
    <t xml:space="preserve">B. Production After New Machinery </t>
  </si>
  <si>
    <t xml:space="preserve">Notes To understand </t>
  </si>
  <si>
    <t>1. "Pcs" in this context signifies that one pair is equivalent to one piece.</t>
  </si>
  <si>
    <t xml:space="preserve">2. Our total production increases by 20% every year after the purchase of new machinery. </t>
  </si>
  <si>
    <t>(Increases by 20% Every year)</t>
  </si>
  <si>
    <t>3.The selling price is approximately Rs. 120/Pcs</t>
  </si>
  <si>
    <t>2. the sales value is Aprrox = Total production X 120/pcs</t>
  </si>
  <si>
    <t xml:space="preserve">PRODUCTION STATEMENT </t>
  </si>
  <si>
    <t xml:space="preserve">Notes to Understand </t>
  </si>
  <si>
    <t>1.During the first six months, only the interest portion will be deducted, and not the principal amount.</t>
  </si>
  <si>
    <t>DEPRECIATION SCHEDULE:</t>
  </si>
  <si>
    <t>WDV at the year end</t>
  </si>
  <si>
    <t>Assets</t>
  </si>
  <si>
    <t>Total Assets</t>
  </si>
  <si>
    <t>Dep Rate</t>
  </si>
  <si>
    <t xml:space="preserve">Depreciation </t>
  </si>
  <si>
    <t>Total Depreciation</t>
  </si>
  <si>
    <t>DEPRECIATION SCHEDULE</t>
  </si>
  <si>
    <t>Plant &amp; Machinery</t>
  </si>
  <si>
    <t>New Machinery</t>
  </si>
  <si>
    <t>Furniture &amp; Fixtures</t>
  </si>
  <si>
    <t>Motor Vehicle</t>
  </si>
  <si>
    <t>Die and Tools</t>
  </si>
  <si>
    <t>Telephone set</t>
  </si>
  <si>
    <t xml:space="preserve">Tin Shed </t>
  </si>
  <si>
    <t>Land</t>
  </si>
  <si>
    <t xml:space="preserve">Printer </t>
  </si>
  <si>
    <t>Tally software</t>
  </si>
  <si>
    <t xml:space="preserve">M/s Abc </t>
  </si>
  <si>
    <t>M/s ABC</t>
  </si>
  <si>
    <t>M/s Abc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</si>
</sst>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  <numFmt numFmtId="166" formatCode="_ * #,##0_ ;_ * \-#,##0_ ;_ * &quot;-&quot;??_ ;_ @_ "/>
    <numFmt numFmtId="167" formatCode="0.0"/>
  </numFmts>
  <fonts count="32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u/>
      <sz val="11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u/>
      <sz val="10"/>
      <color theme="10"/>
      <name val="Arial"/>
      <family val="2"/>
    </font>
    <font>
      <b/>
      <sz val="9"/>
      <name val="Times New Roman"/>
      <family val="1"/>
    </font>
    <font>
      <sz val="11"/>
      <color theme="1"/>
      <name val="Georgia"/>
      <family val="1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rgb="FFFF0000"/>
      <name val="Times New Roman"/>
      <family val="1"/>
    </font>
    <font>
      <b/>
      <sz val="16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u/>
      <sz val="18"/>
      <name val="Times New Roman"/>
      <family val="1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1"/>
      <name val="Times New Roman"/>
      <family val="1"/>
    </font>
    <font>
      <b/>
      <sz val="18"/>
      <name val="Times New Roman"/>
      <family val="1"/>
    </font>
    <font>
      <sz val="11"/>
      <name val="Arial"/>
      <family val="2"/>
    </font>
    <font>
      <sz val="11"/>
      <name val="Georgi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23" fillId="2" borderId="19" applyNumberFormat="0" applyAlignment="0" applyProtection="0"/>
  </cellStyleXfs>
  <cellXfs count="237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43" fontId="3" fillId="0" borderId="0" xfId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3" fillId="0" borderId="10" xfId="1" applyFont="1" applyBorder="1" applyAlignment="1">
      <alignment horizontal="center"/>
    </xf>
    <xf numFmtId="43" fontId="3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5" xfId="0" applyFont="1" applyBorder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9" xfId="0" applyFont="1" applyBorder="1"/>
    <xf numFmtId="43" fontId="3" fillId="0" borderId="3" xfId="1" applyFont="1" applyBorder="1"/>
    <xf numFmtId="43" fontId="3" fillId="0" borderId="0" xfId="1" applyFont="1" applyBorder="1"/>
    <xf numFmtId="0" fontId="3" fillId="0" borderId="12" xfId="0" applyFont="1" applyBorder="1" applyAlignment="1">
      <alignment horizontal="center"/>
    </xf>
    <xf numFmtId="0" fontId="3" fillId="0" borderId="4" xfId="0" applyFont="1" applyBorder="1"/>
    <xf numFmtId="0" fontId="3" fillId="0" borderId="11" xfId="0" applyFont="1" applyBorder="1"/>
    <xf numFmtId="0" fontId="3" fillId="0" borderId="7" xfId="0" applyFont="1" applyBorder="1"/>
    <xf numFmtId="0" fontId="3" fillId="0" borderId="8" xfId="0" applyFont="1" applyBorder="1"/>
    <xf numFmtId="43" fontId="3" fillId="0" borderId="2" xfId="1" applyFont="1" applyBorder="1"/>
    <xf numFmtId="43" fontId="3" fillId="0" borderId="6" xfId="1" applyFont="1" applyBorder="1"/>
    <xf numFmtId="43" fontId="3" fillId="0" borderId="8" xfId="1" applyFont="1" applyBorder="1"/>
    <xf numFmtId="43" fontId="3" fillId="0" borderId="12" xfId="1" applyFont="1" applyBorder="1"/>
    <xf numFmtId="0" fontId="3" fillId="0" borderId="10" xfId="0" applyFont="1" applyBorder="1"/>
    <xf numFmtId="43" fontId="3" fillId="0" borderId="1" xfId="1" applyFont="1" applyBorder="1"/>
    <xf numFmtId="43" fontId="3" fillId="0" borderId="5" xfId="1" applyFont="1" applyBorder="1"/>
    <xf numFmtId="0" fontId="3" fillId="0" borderId="2" xfId="0" applyFont="1" applyBorder="1"/>
    <xf numFmtId="0" fontId="3" fillId="0" borderId="6" xfId="0" applyFont="1" applyBorder="1"/>
    <xf numFmtId="43" fontId="3" fillId="0" borderId="5" xfId="1" applyFont="1" applyBorder="1" applyAlignment="1">
      <alignment horizontal="center"/>
    </xf>
    <xf numFmtId="43" fontId="3" fillId="0" borderId="14" xfId="1" applyFont="1" applyBorder="1"/>
    <xf numFmtId="43" fontId="3" fillId="0" borderId="10" xfId="1" applyFont="1" applyBorder="1"/>
    <xf numFmtId="2" fontId="3" fillId="0" borderId="12" xfId="0" applyNumberFormat="1" applyFont="1" applyBorder="1"/>
    <xf numFmtId="2" fontId="3" fillId="0" borderId="6" xfId="0" applyNumberFormat="1" applyFont="1" applyBorder="1"/>
    <xf numFmtId="2" fontId="3" fillId="0" borderId="0" xfId="0" applyNumberFormat="1" applyFont="1"/>
    <xf numFmtId="2" fontId="3" fillId="0" borderId="8" xfId="0" applyNumberFormat="1" applyFont="1" applyBorder="1"/>
    <xf numFmtId="43" fontId="3" fillId="0" borderId="0" xfId="1" applyFont="1"/>
    <xf numFmtId="39" fontId="2" fillId="0" borderId="0" xfId="1" applyNumberFormat="1" applyFont="1" applyAlignment="1">
      <alignment horizontal="right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4" fontId="3" fillId="0" borderId="0" xfId="0" applyNumberFormat="1" applyFont="1"/>
    <xf numFmtId="164" fontId="3" fillId="0" borderId="6" xfId="0" applyNumberFormat="1" applyFont="1" applyBorder="1"/>
    <xf numFmtId="43" fontId="2" fillId="0" borderId="0" xfId="0" applyNumberFormat="1" applyFont="1" applyAlignment="1">
      <alignment horizontal="center"/>
    </xf>
    <xf numFmtId="43" fontId="3" fillId="0" borderId="0" xfId="0" quotePrefix="1" applyNumberFormat="1" applyFont="1"/>
    <xf numFmtId="43" fontId="2" fillId="0" borderId="0" xfId="1" applyFont="1" applyAlignment="1">
      <alignment horizontal="center"/>
    </xf>
    <xf numFmtId="47" fontId="3" fillId="0" borderId="0" xfId="0" applyNumberFormat="1" applyFont="1"/>
    <xf numFmtId="165" fontId="2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left"/>
    </xf>
    <xf numFmtId="1" fontId="3" fillId="0" borderId="0" xfId="0" applyNumberFormat="1" applyFont="1"/>
    <xf numFmtId="1" fontId="3" fillId="0" borderId="4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0" fontId="6" fillId="0" borderId="0" xfId="0" applyFont="1"/>
    <xf numFmtId="0" fontId="7" fillId="0" borderId="5" xfId="0" applyFont="1" applyBorder="1"/>
    <xf numFmtId="43" fontId="2" fillId="0" borderId="12" xfId="1" applyFont="1" applyBorder="1" applyAlignment="1">
      <alignment horizontal="center"/>
    </xf>
    <xf numFmtId="0" fontId="2" fillId="0" borderId="5" xfId="0" applyFont="1" applyBorder="1"/>
    <xf numFmtId="0" fontId="2" fillId="0" borderId="9" xfId="0" applyFont="1" applyBorder="1"/>
    <xf numFmtId="43" fontId="2" fillId="0" borderId="6" xfId="1" applyFont="1" applyBorder="1" applyAlignment="1">
      <alignment horizontal="center"/>
    </xf>
    <xf numFmtId="164" fontId="2" fillId="0" borderId="12" xfId="0" applyNumberFormat="1" applyFont="1" applyBorder="1"/>
    <xf numFmtId="43" fontId="2" fillId="0" borderId="11" xfId="1" applyFont="1" applyBorder="1" applyAlignment="1">
      <alignment horizontal="center"/>
    </xf>
    <xf numFmtId="43" fontId="2" fillId="0" borderId="11" xfId="0" applyNumberFormat="1" applyFont="1" applyBorder="1" applyAlignment="1">
      <alignment horizontal="center"/>
    </xf>
    <xf numFmtId="43" fontId="8" fillId="0" borderId="6" xfId="2" applyNumberFormat="1" applyBorder="1" applyAlignment="1">
      <alignment horizontal="center"/>
    </xf>
    <xf numFmtId="0" fontId="9" fillId="0" borderId="5" xfId="0" applyFont="1" applyBorder="1"/>
    <xf numFmtId="43" fontId="2" fillId="0" borderId="0" xfId="0" applyNumberFormat="1" applyFont="1"/>
    <xf numFmtId="0" fontId="2" fillId="0" borderId="12" xfId="0" applyFont="1" applyBorder="1" applyAlignment="1">
      <alignment horizontal="center" vertical="center"/>
    </xf>
    <xf numFmtId="166" fontId="10" fillId="0" borderId="6" xfId="1" applyNumberFormat="1" applyFont="1" applyFill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165" fontId="11" fillId="0" borderId="6" xfId="1" applyNumberFormat="1" applyFont="1" applyBorder="1"/>
    <xf numFmtId="165" fontId="11" fillId="0" borderId="0" xfId="0" applyNumberFormat="1" applyFont="1"/>
    <xf numFmtId="0" fontId="15" fillId="0" borderId="0" xfId="0" applyFont="1"/>
    <xf numFmtId="0" fontId="16" fillId="0" borderId="0" xfId="0" applyFont="1"/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wrapText="1"/>
    </xf>
    <xf numFmtId="0" fontId="11" fillId="0" borderId="5" xfId="0" applyFont="1" applyBorder="1"/>
    <xf numFmtId="0" fontId="15" fillId="0" borderId="14" xfId="0" applyFont="1" applyBorder="1" applyAlignment="1">
      <alignment horizontal="center" vertical="center"/>
    </xf>
    <xf numFmtId="165" fontId="11" fillId="0" borderId="0" xfId="1" applyNumberFormat="1" applyFont="1" applyFill="1" applyBorder="1"/>
    <xf numFmtId="0" fontId="15" fillId="0" borderId="14" xfId="0" applyFont="1" applyBorder="1"/>
    <xf numFmtId="165" fontId="11" fillId="0" borderId="6" xfId="1" applyNumberFormat="1" applyFont="1" applyFill="1" applyBorder="1"/>
    <xf numFmtId="165" fontId="15" fillId="0" borderId="12" xfId="1" applyNumberFormat="1" applyFont="1" applyFill="1" applyBorder="1"/>
    <xf numFmtId="165" fontId="13" fillId="0" borderId="0" xfId="0" applyNumberFormat="1" applyFont="1"/>
    <xf numFmtId="0" fontId="15" fillId="0" borderId="5" xfId="0" applyFont="1" applyBorder="1"/>
    <xf numFmtId="0" fontId="11" fillId="0" borderId="6" xfId="0" applyFont="1" applyBorder="1"/>
    <xf numFmtId="166" fontId="10" fillId="0" borderId="6" xfId="1" applyNumberFormat="1" applyFont="1" applyFill="1" applyBorder="1" applyAlignment="1">
      <alignment vertical="center" wrapText="1"/>
    </xf>
    <xf numFmtId="0" fontId="15" fillId="0" borderId="17" xfId="0" applyFont="1" applyBorder="1"/>
    <xf numFmtId="165" fontId="15" fillId="0" borderId="16" xfId="1" applyNumberFormat="1" applyFont="1" applyFill="1" applyBorder="1"/>
    <xf numFmtId="165" fontId="15" fillId="0" borderId="16" xfId="1" applyNumberFormat="1" applyFont="1" applyBorder="1"/>
    <xf numFmtId="0" fontId="11" fillId="0" borderId="0" xfId="0" applyFont="1" applyAlignment="1">
      <alignment vertical="center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5" fontId="11" fillId="0" borderId="5" xfId="1" applyNumberFormat="1" applyFont="1" applyFill="1" applyBorder="1"/>
    <xf numFmtId="0" fontId="15" fillId="0" borderId="13" xfId="0" applyFont="1" applyBorder="1" applyAlignment="1">
      <alignment horizontal="center" vertical="center"/>
    </xf>
    <xf numFmtId="165" fontId="15" fillId="0" borderId="14" xfId="1" applyNumberFormat="1" applyFont="1" applyFill="1" applyBorder="1"/>
    <xf numFmtId="0" fontId="15" fillId="0" borderId="18" xfId="0" applyFont="1" applyBorder="1" applyAlignment="1">
      <alignment horizontal="center" vertical="center"/>
    </xf>
    <xf numFmtId="165" fontId="15" fillId="0" borderId="18" xfId="1" applyNumberFormat="1" applyFont="1" applyFill="1" applyBorder="1"/>
    <xf numFmtId="43" fontId="3" fillId="0" borderId="1" xfId="0" applyNumberFormat="1" applyFont="1" applyBorder="1"/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17" fillId="0" borderId="0" xfId="0" applyFont="1" applyAlignment="1">
      <alignment horizontal="center"/>
    </xf>
    <xf numFmtId="0" fontId="17" fillId="0" borderId="0" xfId="0" applyFont="1"/>
    <xf numFmtId="0" fontId="2" fillId="0" borderId="5" xfId="0" applyFont="1" applyBorder="1" applyAlignment="1">
      <alignment horizontal="center"/>
    </xf>
    <xf numFmtId="43" fontId="2" fillId="0" borderId="6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right"/>
    </xf>
    <xf numFmtId="0" fontId="2" fillId="0" borderId="12" xfId="0" applyFont="1" applyBorder="1"/>
    <xf numFmtId="43" fontId="2" fillId="0" borderId="10" xfId="0" applyNumberFormat="1" applyFont="1" applyBorder="1" applyAlignment="1">
      <alignment horizontal="center"/>
    </xf>
    <xf numFmtId="43" fontId="2" fillId="0" borderId="6" xfId="0" applyNumberFormat="1" applyFont="1" applyBorder="1"/>
    <xf numFmtId="0" fontId="3" fillId="0" borderId="11" xfId="0" applyFont="1" applyBorder="1" applyAlignment="1">
      <alignment horizontal="center"/>
    </xf>
    <xf numFmtId="43" fontId="18" fillId="0" borderId="0" xfId="1" applyFont="1" applyAlignment="1">
      <alignment horizontal="center"/>
    </xf>
    <xf numFmtId="0" fontId="18" fillId="0" borderId="0" xfId="0" applyFont="1"/>
    <xf numFmtId="0" fontId="2" fillId="0" borderId="12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43" fontId="3" fillId="0" borderId="12" xfId="1" applyFont="1" applyBorder="1" applyAlignment="1">
      <alignment horizontal="center"/>
    </xf>
    <xf numFmtId="43" fontId="3" fillId="0" borderId="12" xfId="1" applyFont="1" applyBorder="1" applyAlignment="1">
      <alignment horizontal="right"/>
    </xf>
    <xf numFmtId="43" fontId="3" fillId="0" borderId="12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9" fontId="3" fillId="0" borderId="12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3" fontId="2" fillId="0" borderId="12" xfId="1" applyFont="1" applyBorder="1" applyAlignment="1">
      <alignment horizontal="right"/>
    </xf>
    <xf numFmtId="43" fontId="2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43" fontId="3" fillId="0" borderId="10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9" fontId="2" fillId="0" borderId="12" xfId="0" applyNumberFormat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2" fillId="0" borderId="0" xfId="1" applyFont="1" applyBorder="1" applyAlignment="1">
      <alignment horizontal="right"/>
    </xf>
    <xf numFmtId="9" fontId="3" fillId="0" borderId="0" xfId="0" applyNumberFormat="1" applyFont="1" applyAlignment="1">
      <alignment horizont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horizontal="right"/>
    </xf>
    <xf numFmtId="0" fontId="19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20" fillId="0" borderId="5" xfId="0" applyFont="1" applyBorder="1"/>
    <xf numFmtId="43" fontId="20" fillId="0" borderId="6" xfId="1" applyFont="1" applyFill="1" applyBorder="1" applyAlignment="1">
      <alignment horizontal="center"/>
    </xf>
    <xf numFmtId="43" fontId="20" fillId="0" borderId="0" xfId="1" applyFont="1" applyFill="1" applyBorder="1" applyAlignment="1">
      <alignment horizontal="center"/>
    </xf>
    <xf numFmtId="0" fontId="20" fillId="0" borderId="5" xfId="0" applyFont="1" applyBorder="1" applyAlignment="1">
      <alignment horizontal="left" indent="1"/>
    </xf>
    <xf numFmtId="43" fontId="20" fillId="0" borderId="6" xfId="1" applyFont="1" applyFill="1" applyBorder="1" applyAlignment="1">
      <alignment horizontal="right"/>
    </xf>
    <xf numFmtId="43" fontId="20" fillId="0" borderId="5" xfId="1" applyFont="1" applyFill="1" applyBorder="1" applyAlignment="1">
      <alignment horizontal="right"/>
    </xf>
    <xf numFmtId="0" fontId="20" fillId="0" borderId="5" xfId="0" applyFont="1" applyBorder="1" applyAlignment="1">
      <alignment horizontal="left" wrapText="1" indent="1"/>
    </xf>
    <xf numFmtId="0" fontId="19" fillId="0" borderId="5" xfId="0" applyFont="1" applyBorder="1"/>
    <xf numFmtId="43" fontId="19" fillId="0" borderId="12" xfId="1" applyFont="1" applyFill="1" applyBorder="1" applyAlignment="1">
      <alignment horizontal="right"/>
    </xf>
    <xf numFmtId="43" fontId="19" fillId="0" borderId="14" xfId="1" applyFont="1" applyFill="1" applyBorder="1" applyAlignment="1">
      <alignment horizontal="right"/>
    </xf>
    <xf numFmtId="0" fontId="20" fillId="0" borderId="6" xfId="0" applyFont="1" applyBorder="1"/>
    <xf numFmtId="43" fontId="20" fillId="0" borderId="5" xfId="1" applyFont="1" applyFill="1" applyBorder="1" applyAlignment="1">
      <alignment horizontal="center"/>
    </xf>
    <xf numFmtId="0" fontId="20" fillId="0" borderId="6" xfId="0" applyFont="1" applyBorder="1" applyAlignment="1">
      <alignment wrapText="1"/>
    </xf>
    <xf numFmtId="9" fontId="20" fillId="0" borderId="0" xfId="0" applyNumberFormat="1" applyFont="1"/>
    <xf numFmtId="43" fontId="20" fillId="0" borderId="9" xfId="1" applyFont="1" applyFill="1" applyBorder="1" applyAlignment="1">
      <alignment horizontal="right"/>
    </xf>
    <xf numFmtId="0" fontId="19" fillId="0" borderId="6" xfId="0" applyFont="1" applyBorder="1"/>
    <xf numFmtId="43" fontId="20" fillId="0" borderId="5" xfId="1" applyFont="1" applyFill="1" applyBorder="1"/>
    <xf numFmtId="43" fontId="20" fillId="0" borderId="2" xfId="1" applyFont="1" applyFill="1" applyBorder="1"/>
    <xf numFmtId="43" fontId="19" fillId="0" borderId="5" xfId="1" applyFont="1" applyFill="1" applyBorder="1" applyAlignment="1">
      <alignment horizontal="right"/>
    </xf>
    <xf numFmtId="43" fontId="20" fillId="0" borderId="14" xfId="1" applyFont="1" applyFill="1" applyBorder="1" applyAlignment="1">
      <alignment horizontal="right"/>
    </xf>
    <xf numFmtId="43" fontId="20" fillId="0" borderId="12" xfId="1" applyFont="1" applyFill="1" applyBorder="1" applyAlignment="1">
      <alignment horizontal="right"/>
    </xf>
    <xf numFmtId="43" fontId="20" fillId="0" borderId="8" xfId="1" applyFont="1" applyFill="1" applyBorder="1"/>
    <xf numFmtId="43" fontId="20" fillId="0" borderId="8" xfId="1" applyFont="1" applyFill="1" applyBorder="1" applyAlignment="1">
      <alignment horizontal="right"/>
    </xf>
    <xf numFmtId="43" fontId="19" fillId="0" borderId="6" xfId="1" applyFont="1" applyFill="1" applyBorder="1" applyAlignment="1">
      <alignment horizontal="right"/>
    </xf>
    <xf numFmtId="43" fontId="20" fillId="0" borderId="6" xfId="1" applyFont="1" applyFill="1" applyBorder="1" applyAlignment="1"/>
    <xf numFmtId="43" fontId="20" fillId="0" borderId="0" xfId="1" applyFont="1" applyFill="1"/>
    <xf numFmtId="43" fontId="20" fillId="0" borderId="10" xfId="1" applyFont="1" applyFill="1" applyBorder="1" applyAlignment="1">
      <alignment horizontal="right"/>
    </xf>
    <xf numFmtId="166" fontId="10" fillId="0" borderId="8" xfId="1" applyNumberFormat="1" applyFont="1" applyFill="1" applyBorder="1" applyAlignment="1">
      <alignment vertical="center"/>
    </xf>
    <xf numFmtId="43" fontId="19" fillId="0" borderId="8" xfId="1" applyFont="1" applyFill="1" applyBorder="1" applyAlignment="1">
      <alignment horizontal="right"/>
    </xf>
    <xf numFmtId="43" fontId="3" fillId="0" borderId="2" xfId="0" applyNumberFormat="1" applyFont="1" applyBorder="1"/>
    <xf numFmtId="0" fontId="19" fillId="0" borderId="10" xfId="0" applyFont="1" applyBorder="1"/>
    <xf numFmtId="0" fontId="15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16" fillId="0" borderId="5" xfId="0" applyFont="1" applyBorder="1"/>
    <xf numFmtId="165" fontId="23" fillId="2" borderId="19" xfId="3" applyNumberFormat="1"/>
    <xf numFmtId="165" fontId="0" fillId="0" borderId="0" xfId="0" applyNumberFormat="1"/>
    <xf numFmtId="43" fontId="0" fillId="0" borderId="0" xfId="0" applyNumberFormat="1"/>
    <xf numFmtId="0" fontId="1" fillId="0" borderId="0" xfId="0" applyFont="1"/>
    <xf numFmtId="0" fontId="25" fillId="0" borderId="0" xfId="0" applyFont="1"/>
    <xf numFmtId="0" fontId="26" fillId="0" borderId="0" xfId="0" applyFont="1"/>
    <xf numFmtId="1" fontId="3" fillId="0" borderId="7" xfId="0" applyNumberFormat="1" applyFont="1" applyBorder="1" applyAlignment="1">
      <alignment horizontal="center"/>
    </xf>
    <xf numFmtId="2" fontId="0" fillId="0" borderId="0" xfId="0" applyNumberFormat="1"/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3" fontId="3" fillId="0" borderId="8" xfId="1" applyFont="1" applyBorder="1" applyAlignment="1">
      <alignment horizontal="center"/>
    </xf>
    <xf numFmtId="43" fontId="20" fillId="0" borderId="0" xfId="0" applyNumberFormat="1" applyFont="1"/>
    <xf numFmtId="166" fontId="11" fillId="0" borderId="0" xfId="0" applyNumberFormat="1" applyFont="1"/>
    <xf numFmtId="0" fontId="3" fillId="0" borderId="0" xfId="0" applyFont="1" applyAlignment="1">
      <alignment horizontal="left"/>
    </xf>
    <xf numFmtId="0" fontId="27" fillId="0" borderId="5" xfId="0" applyFont="1" applyBorder="1"/>
    <xf numFmtId="9" fontId="3" fillId="0" borderId="5" xfId="0" applyNumberFormat="1" applyFont="1" applyBorder="1"/>
    <xf numFmtId="43" fontId="3" fillId="0" borderId="4" xfId="1" applyFont="1" applyBorder="1" applyAlignment="1">
      <alignment horizontal="center"/>
    </xf>
    <xf numFmtId="0" fontId="27" fillId="0" borderId="6" xfId="0" applyFont="1" applyBorder="1"/>
    <xf numFmtId="165" fontId="29" fillId="0" borderId="6" xfId="1" applyNumberFormat="1" applyFont="1" applyFill="1" applyBorder="1"/>
    <xf numFmtId="166" fontId="30" fillId="0" borderId="6" xfId="1" applyNumberFormat="1" applyFont="1" applyFill="1" applyBorder="1" applyAlignment="1">
      <alignment vertical="center"/>
    </xf>
    <xf numFmtId="166" fontId="30" fillId="0" borderId="6" xfId="1" applyNumberFormat="1" applyFont="1" applyFill="1" applyBorder="1" applyAlignment="1">
      <alignment vertical="center" wrapText="1"/>
    </xf>
    <xf numFmtId="165" fontId="31" fillId="0" borderId="16" xfId="1" applyNumberFormat="1" applyFont="1" applyFill="1" applyBorder="1"/>
    <xf numFmtId="0" fontId="1" fillId="0" borderId="6" xfId="0" applyFont="1" applyBorder="1"/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1" fillId="0" borderId="5" xfId="0" applyFont="1" applyBorder="1"/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8" xfId="0" applyFont="1" applyBorder="1" applyAlignment="1">
      <alignment horizontal="left" wrapText="1"/>
    </xf>
    <xf numFmtId="43" fontId="3" fillId="0" borderId="5" xfId="1" applyFont="1" applyBorder="1" applyAlignment="1">
      <alignment horizontal="center"/>
    </xf>
    <xf numFmtId="43" fontId="3" fillId="0" borderId="8" xfId="1" applyFont="1" applyBorder="1" applyAlignment="1">
      <alignment horizontal="center"/>
    </xf>
    <xf numFmtId="43" fontId="3" fillId="0" borderId="5" xfId="1" applyFont="1" applyFill="1" applyBorder="1" applyAlignment="1">
      <alignment horizontal="center"/>
    </xf>
    <xf numFmtId="43" fontId="3" fillId="0" borderId="8" xfId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43" fontId="19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7" fillId="0" borderId="0" xfId="0" applyFont="1" applyAlignment="1">
      <alignment horizontal="center"/>
    </xf>
  </cellXfs>
  <cellStyles count="4">
    <cellStyle name="Check Cell" xfId="3" builtinId="23"/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ST@18%2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8"/>
  <sheetViews>
    <sheetView view="pageBreakPreview" zoomScaleNormal="100" zoomScaleSheetLayoutView="100" workbookViewId="0">
      <selection activeCell="A3" sqref="A3"/>
    </sheetView>
  </sheetViews>
  <sheetFormatPr defaultColWidth="9.140625" defaultRowHeight="15" x14ac:dyDescent="0.25"/>
  <cols>
    <col min="1" max="1" width="5.42578125" style="5" customWidth="1"/>
    <col min="2" max="2" width="60" style="2" customWidth="1"/>
    <col min="3" max="3" width="8.85546875" style="56" customWidth="1"/>
    <col min="4" max="16384" width="9.140625" style="2"/>
  </cols>
  <sheetData>
    <row r="1" spans="1:3" ht="15.75" customHeight="1" x14ac:dyDescent="0.25"/>
    <row r="2" spans="1:3" x14ac:dyDescent="0.25">
      <c r="A2" s="205" t="s">
        <v>250</v>
      </c>
      <c r="B2" s="205"/>
      <c r="C2" s="205"/>
    </row>
    <row r="3" spans="1:3" x14ac:dyDescent="0.25">
      <c r="A3" s="16"/>
      <c r="B3" s="16"/>
      <c r="C3" s="16"/>
    </row>
    <row r="4" spans="1:3" x14ac:dyDescent="0.25">
      <c r="B4" s="16" t="s">
        <v>16</v>
      </c>
    </row>
    <row r="5" spans="1:3" x14ac:dyDescent="0.25">
      <c r="A5" s="201" t="s">
        <v>18</v>
      </c>
      <c r="B5" s="201" t="s">
        <v>19</v>
      </c>
      <c r="C5" s="203" t="s">
        <v>180</v>
      </c>
    </row>
    <row r="6" spans="1:3" x14ac:dyDescent="0.25">
      <c r="A6" s="206"/>
      <c r="B6" s="202"/>
      <c r="C6" s="204"/>
    </row>
    <row r="7" spans="1:3" x14ac:dyDescent="0.25">
      <c r="A7" s="198"/>
      <c r="B7" s="199" t="s">
        <v>20</v>
      </c>
      <c r="C7" s="57"/>
    </row>
    <row r="8" spans="1:3" x14ac:dyDescent="0.25">
      <c r="A8" s="118">
        <v>1</v>
      </c>
      <c r="B8" s="34" t="s">
        <v>21</v>
      </c>
      <c r="C8" s="58">
        <v>1</v>
      </c>
    </row>
    <row r="9" spans="1:3" x14ac:dyDescent="0.25">
      <c r="A9" s="118">
        <v>2</v>
      </c>
      <c r="B9" s="34" t="s">
        <v>26</v>
      </c>
      <c r="C9" s="58">
        <v>2</v>
      </c>
    </row>
    <row r="10" spans="1:3" x14ac:dyDescent="0.25">
      <c r="A10" s="118">
        <v>3</v>
      </c>
      <c r="B10" s="34" t="s">
        <v>4</v>
      </c>
      <c r="C10" s="58">
        <v>3</v>
      </c>
    </row>
    <row r="11" spans="1:3" x14ac:dyDescent="0.25">
      <c r="A11" s="118">
        <v>4</v>
      </c>
      <c r="B11" s="34" t="s">
        <v>27</v>
      </c>
      <c r="C11" s="58">
        <v>4</v>
      </c>
    </row>
    <row r="12" spans="1:3" x14ac:dyDescent="0.25">
      <c r="A12" s="118">
        <v>5</v>
      </c>
      <c r="B12" s="34" t="s">
        <v>48</v>
      </c>
      <c r="C12" s="58">
        <v>5</v>
      </c>
    </row>
    <row r="13" spans="1:3" x14ac:dyDescent="0.25">
      <c r="A13" s="118">
        <v>6</v>
      </c>
      <c r="B13" s="34" t="s">
        <v>30</v>
      </c>
      <c r="C13" s="58">
        <v>6</v>
      </c>
    </row>
    <row r="14" spans="1:3" x14ac:dyDescent="0.25">
      <c r="A14" s="118">
        <v>7</v>
      </c>
      <c r="B14" s="34" t="s">
        <v>32</v>
      </c>
      <c r="C14" s="58">
        <v>7</v>
      </c>
    </row>
    <row r="15" spans="1:3" x14ac:dyDescent="0.25">
      <c r="A15" s="118">
        <v>8</v>
      </c>
      <c r="B15" s="34" t="s">
        <v>33</v>
      </c>
      <c r="C15" s="58">
        <v>8</v>
      </c>
    </row>
    <row r="16" spans="1:3" x14ac:dyDescent="0.25">
      <c r="A16" s="118">
        <v>9</v>
      </c>
      <c r="B16" s="34" t="s">
        <v>187</v>
      </c>
      <c r="C16" s="58">
        <v>9</v>
      </c>
    </row>
    <row r="17" spans="1:3" x14ac:dyDescent="0.25">
      <c r="A17" s="118">
        <v>10</v>
      </c>
      <c r="B17" s="34" t="s">
        <v>229</v>
      </c>
      <c r="C17" s="58">
        <v>10</v>
      </c>
    </row>
    <row r="18" spans="1:3" x14ac:dyDescent="0.25">
      <c r="A18" s="124">
        <v>11</v>
      </c>
      <c r="B18" s="30" t="s">
        <v>239</v>
      </c>
      <c r="C18" s="181">
        <v>11</v>
      </c>
    </row>
  </sheetData>
  <mergeCells count="4">
    <mergeCell ref="B5:B6"/>
    <mergeCell ref="C5:C6"/>
    <mergeCell ref="A2:C2"/>
    <mergeCell ref="A5:A6"/>
  </mergeCells>
  <phoneticPr fontId="0" type="noConversion"/>
  <printOptions horizontalCentered="1" verticalCentered="1"/>
  <pageMargins left="0.81" right="2.0699999999999998" top="0.87" bottom="5.79" header="0.5" footer="0.5"/>
  <pageSetup scale="95" orientation="portrait" horizontalDpi="4294967293" verticalDpi="14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0E5FE-E8A1-4FBC-96FF-9C1738DF1BC5}">
  <dimension ref="A1:K37"/>
  <sheetViews>
    <sheetView workbookViewId="0">
      <selection activeCell="A3" sqref="A3"/>
    </sheetView>
  </sheetViews>
  <sheetFormatPr defaultRowHeight="12.75" x14ac:dyDescent="0.2"/>
  <cols>
    <col min="1" max="1" width="26.7109375" bestFit="1" customWidth="1"/>
    <col min="2" max="2" width="13.140625" bestFit="1" customWidth="1"/>
    <col min="3" max="3" width="23.7109375" customWidth="1"/>
    <col min="4" max="4" width="15" bestFit="1" customWidth="1"/>
    <col min="5" max="5" width="12.85546875" bestFit="1" customWidth="1"/>
    <col min="6" max="6" width="14.5703125" bestFit="1" customWidth="1"/>
    <col min="7" max="7" width="17.85546875" bestFit="1" customWidth="1"/>
    <col min="9" max="11" width="9.5703125" bestFit="1" customWidth="1"/>
  </cols>
  <sheetData>
    <row r="1" spans="1:9" ht="20.25" x14ac:dyDescent="0.3">
      <c r="A1" s="2"/>
      <c r="B1" s="2"/>
      <c r="C1" s="115" t="s">
        <v>187</v>
      </c>
      <c r="D1" s="2"/>
      <c r="E1" s="2"/>
      <c r="F1" s="2"/>
      <c r="G1" s="2"/>
    </row>
    <row r="2" spans="1:9" ht="20.25" x14ac:dyDescent="0.3">
      <c r="A2" s="116" t="s">
        <v>252</v>
      </c>
      <c r="B2" s="2"/>
      <c r="C2" s="3"/>
      <c r="D2" s="2"/>
      <c r="E2" s="2"/>
      <c r="F2" s="2"/>
      <c r="G2" s="2"/>
    </row>
    <row r="3" spans="1:9" ht="15" x14ac:dyDescent="0.25">
      <c r="A3" s="1" t="s">
        <v>213</v>
      </c>
      <c r="B3" s="2"/>
      <c r="C3" s="3"/>
      <c r="D3" s="2"/>
      <c r="E3" s="2"/>
      <c r="F3" s="2"/>
      <c r="G3" s="2"/>
    </row>
    <row r="4" spans="1:9" ht="15" x14ac:dyDescent="0.25">
      <c r="A4" s="104"/>
      <c r="B4" s="2"/>
      <c r="C4" s="4"/>
      <c r="D4" s="2" t="s">
        <v>11</v>
      </c>
      <c r="E4" s="2"/>
      <c r="F4" s="2"/>
      <c r="G4" s="14" t="s">
        <v>188</v>
      </c>
    </row>
    <row r="5" spans="1:9" ht="14.25" x14ac:dyDescent="0.2">
      <c r="A5" s="117" t="s">
        <v>189</v>
      </c>
      <c r="B5" s="46" t="s">
        <v>190</v>
      </c>
      <c r="C5" s="61" t="s">
        <v>191</v>
      </c>
      <c r="D5" s="46" t="s">
        <v>192</v>
      </c>
      <c r="E5" s="46" t="s">
        <v>193</v>
      </c>
      <c r="F5" s="46" t="s">
        <v>194</v>
      </c>
      <c r="G5" s="46" t="s">
        <v>195</v>
      </c>
    </row>
    <row r="6" spans="1:9" ht="15" x14ac:dyDescent="0.25">
      <c r="A6" s="118"/>
      <c r="B6" s="46"/>
      <c r="C6" s="61" t="s">
        <v>196</v>
      </c>
      <c r="D6" s="46" t="s">
        <v>197</v>
      </c>
      <c r="E6" s="46" t="s">
        <v>196</v>
      </c>
      <c r="F6" s="46" t="s">
        <v>198</v>
      </c>
      <c r="G6" s="46" t="s">
        <v>199</v>
      </c>
    </row>
    <row r="7" spans="1:9" ht="15" x14ac:dyDescent="0.25">
      <c r="A7" s="118"/>
      <c r="B7" s="21" t="s">
        <v>200</v>
      </c>
      <c r="C7" s="119">
        <v>5050000</v>
      </c>
      <c r="D7" s="120">
        <f>109800*3</f>
        <v>329400</v>
      </c>
      <c r="E7" s="121">
        <f>+C7</f>
        <v>5050000</v>
      </c>
      <c r="F7" s="122">
        <f>+D7</f>
        <v>329400</v>
      </c>
      <c r="G7" s="123">
        <v>0.11</v>
      </c>
    </row>
    <row r="8" spans="1:9" ht="15" x14ac:dyDescent="0.25">
      <c r="A8" s="118" t="s">
        <v>201</v>
      </c>
      <c r="B8" s="21" t="s">
        <v>202</v>
      </c>
      <c r="C8" s="119">
        <f>+E7</f>
        <v>5050000</v>
      </c>
      <c r="D8" s="120">
        <f>109800*3</f>
        <v>329400</v>
      </c>
      <c r="E8" s="121">
        <f>+C8</f>
        <v>5050000</v>
      </c>
      <c r="F8" s="122">
        <f>+D8</f>
        <v>329400</v>
      </c>
      <c r="G8" s="123">
        <v>0.11</v>
      </c>
      <c r="I8" s="182"/>
    </row>
    <row r="9" spans="1:9" ht="15" x14ac:dyDescent="0.25">
      <c r="A9" s="118"/>
      <c r="B9" s="21" t="s">
        <v>203</v>
      </c>
      <c r="C9" s="119">
        <f>+E8</f>
        <v>5050000</v>
      </c>
      <c r="D9" s="120">
        <f>109800*3</f>
        <v>329400</v>
      </c>
      <c r="E9" s="121">
        <f>+C9-D9</f>
        <v>4720600</v>
      </c>
      <c r="F9" s="122">
        <f t="shared" ref="F9:F10" si="0">+C9*0.92%*3</f>
        <v>139380</v>
      </c>
      <c r="G9" s="123">
        <v>0.11</v>
      </c>
    </row>
    <row r="10" spans="1:9" ht="15" x14ac:dyDescent="0.25">
      <c r="A10" s="124"/>
      <c r="B10" s="21" t="s">
        <v>204</v>
      </c>
      <c r="C10" s="119">
        <f>+E9</f>
        <v>4720600</v>
      </c>
      <c r="D10" s="120">
        <f>109800*3</f>
        <v>329400</v>
      </c>
      <c r="E10" s="121">
        <f>+C10-D10</f>
        <v>4391200</v>
      </c>
      <c r="F10" s="122">
        <f t="shared" si="0"/>
        <v>130288.56</v>
      </c>
      <c r="G10" s="123">
        <v>0.11</v>
      </c>
    </row>
    <row r="11" spans="1:9" ht="15" x14ac:dyDescent="0.25">
      <c r="A11" s="46" t="s">
        <v>88</v>
      </c>
      <c r="B11" s="46"/>
      <c r="C11" s="61"/>
      <c r="D11" s="125">
        <f>SUM(D7:D10)</f>
        <v>1317600</v>
      </c>
      <c r="E11" s="126"/>
      <c r="F11" s="127">
        <f>SUM(F7:F10)</f>
        <v>928468.56</v>
      </c>
      <c r="G11" s="123"/>
    </row>
    <row r="12" spans="1:9" ht="15" x14ac:dyDescent="0.25">
      <c r="A12" s="118"/>
      <c r="B12" s="8" t="s">
        <v>200</v>
      </c>
      <c r="C12" s="11">
        <f>+E10</f>
        <v>4391200</v>
      </c>
      <c r="D12" s="120">
        <f>109800*3</f>
        <v>329400</v>
      </c>
      <c r="E12" s="128">
        <f t="shared" ref="E12:E25" si="1">+C12-D12</f>
        <v>4061800</v>
      </c>
      <c r="F12" s="129">
        <f>+C12*0.92%*3</f>
        <v>121197.12</v>
      </c>
      <c r="G12" s="123">
        <v>0.11</v>
      </c>
    </row>
    <row r="13" spans="1:9" ht="15" x14ac:dyDescent="0.25">
      <c r="A13" s="118" t="s">
        <v>205</v>
      </c>
      <c r="B13" s="21" t="s">
        <v>202</v>
      </c>
      <c r="C13" s="119">
        <f t="shared" ref="C13:C25" si="2">+E12</f>
        <v>4061800</v>
      </c>
      <c r="D13" s="120">
        <f>109800*3</f>
        <v>329400</v>
      </c>
      <c r="E13" s="121">
        <f t="shared" si="1"/>
        <v>3732400</v>
      </c>
      <c r="F13" s="129">
        <f>+C13*0.92%*3</f>
        <v>112105.68</v>
      </c>
      <c r="G13" s="123">
        <v>0.11</v>
      </c>
    </row>
    <row r="14" spans="1:9" ht="15" x14ac:dyDescent="0.25">
      <c r="A14" s="118"/>
      <c r="B14" s="21" t="s">
        <v>203</v>
      </c>
      <c r="C14" s="119">
        <f t="shared" si="2"/>
        <v>3732400</v>
      </c>
      <c r="D14" s="120">
        <f>109800*3</f>
        <v>329400</v>
      </c>
      <c r="E14" s="121">
        <f t="shared" si="1"/>
        <v>3403000</v>
      </c>
      <c r="F14" s="129">
        <f>+C14*0.92%*3</f>
        <v>103014.24</v>
      </c>
      <c r="G14" s="123">
        <v>0.11</v>
      </c>
    </row>
    <row r="15" spans="1:9" ht="15" x14ac:dyDescent="0.25">
      <c r="A15" s="124"/>
      <c r="B15" s="21" t="s">
        <v>204</v>
      </c>
      <c r="C15" s="119">
        <f t="shared" si="2"/>
        <v>3403000</v>
      </c>
      <c r="D15" s="120">
        <f>109800*3</f>
        <v>329400</v>
      </c>
      <c r="E15" s="121">
        <f t="shared" si="1"/>
        <v>3073600</v>
      </c>
      <c r="F15" s="129">
        <f>+C15*0.92%*3</f>
        <v>93922.799999999988</v>
      </c>
      <c r="G15" s="123">
        <v>0.11</v>
      </c>
    </row>
    <row r="16" spans="1:9" ht="15" x14ac:dyDescent="0.25">
      <c r="A16" s="46" t="s">
        <v>88</v>
      </c>
      <c r="B16" s="46"/>
      <c r="C16" s="61"/>
      <c r="D16" s="125">
        <f>SUM(D12:D15)</f>
        <v>1317600</v>
      </c>
      <c r="E16" s="126"/>
      <c r="F16" s="125">
        <f>SUM(F12:F15)</f>
        <v>430239.83999999997</v>
      </c>
      <c r="G16" s="123"/>
    </row>
    <row r="17" spans="1:11" ht="15" x14ac:dyDescent="0.25">
      <c r="A17" s="118"/>
      <c r="B17" s="8" t="s">
        <v>200</v>
      </c>
      <c r="C17" s="11">
        <f>+E15</f>
        <v>3073600</v>
      </c>
      <c r="D17" s="120">
        <f>109800*3</f>
        <v>329400</v>
      </c>
      <c r="E17" s="128">
        <f t="shared" si="1"/>
        <v>2744200</v>
      </c>
      <c r="F17" s="129">
        <f>+C17*0.92%*3</f>
        <v>84831.360000000001</v>
      </c>
      <c r="G17" s="123">
        <v>0.11</v>
      </c>
    </row>
    <row r="18" spans="1:11" ht="15" x14ac:dyDescent="0.25">
      <c r="A18" s="118" t="s">
        <v>206</v>
      </c>
      <c r="B18" s="21" t="s">
        <v>202</v>
      </c>
      <c r="C18" s="119">
        <f t="shared" si="2"/>
        <v>2744200</v>
      </c>
      <c r="D18" s="120">
        <f t="shared" ref="D18:D27" si="3">109800*3</f>
        <v>329400</v>
      </c>
      <c r="E18" s="121">
        <f t="shared" si="1"/>
        <v>2414800</v>
      </c>
      <c r="F18" s="129">
        <f>+C18*0.92%*3</f>
        <v>75739.92</v>
      </c>
      <c r="G18" s="123">
        <v>0.11</v>
      </c>
      <c r="I18" s="182"/>
      <c r="J18" s="182"/>
      <c r="K18" s="182"/>
    </row>
    <row r="19" spans="1:11" ht="15" x14ac:dyDescent="0.25">
      <c r="A19" s="118"/>
      <c r="B19" s="21" t="s">
        <v>203</v>
      </c>
      <c r="C19" s="119">
        <f t="shared" si="2"/>
        <v>2414800</v>
      </c>
      <c r="D19" s="120">
        <f t="shared" si="3"/>
        <v>329400</v>
      </c>
      <c r="E19" s="121">
        <f t="shared" si="1"/>
        <v>2085400</v>
      </c>
      <c r="F19" s="129">
        <f>+C19*0.92%*3</f>
        <v>66648.479999999996</v>
      </c>
      <c r="G19" s="123">
        <v>0.11</v>
      </c>
    </row>
    <row r="20" spans="1:11" ht="15" x14ac:dyDescent="0.25">
      <c r="A20" s="124"/>
      <c r="B20" s="21" t="s">
        <v>204</v>
      </c>
      <c r="C20" s="119">
        <f t="shared" si="2"/>
        <v>2085400</v>
      </c>
      <c r="D20" s="120">
        <f t="shared" si="3"/>
        <v>329400</v>
      </c>
      <c r="E20" s="121">
        <f t="shared" si="1"/>
        <v>1756000</v>
      </c>
      <c r="F20" s="129">
        <f>+C20*0.92%*3</f>
        <v>57557.04</v>
      </c>
      <c r="G20" s="123">
        <v>0.11</v>
      </c>
    </row>
    <row r="21" spans="1:11" ht="14.25" x14ac:dyDescent="0.2">
      <c r="A21" s="46" t="s">
        <v>88</v>
      </c>
      <c r="B21" s="46"/>
      <c r="C21" s="61"/>
      <c r="D21" s="125">
        <f>SUM(D17:D20)</f>
        <v>1317600</v>
      </c>
      <c r="E21" s="126"/>
      <c r="F21" s="125">
        <f>SUM(F17:F20)</f>
        <v>284776.8</v>
      </c>
      <c r="G21" s="130"/>
    </row>
    <row r="22" spans="1:11" ht="15" x14ac:dyDescent="0.25">
      <c r="A22" s="118"/>
      <c r="B22" s="8" t="s">
        <v>200</v>
      </c>
      <c r="C22" s="11">
        <f>+E20</f>
        <v>1756000</v>
      </c>
      <c r="D22" s="120">
        <f t="shared" si="3"/>
        <v>329400</v>
      </c>
      <c r="E22" s="128">
        <f t="shared" si="1"/>
        <v>1426600</v>
      </c>
      <c r="F22" s="129">
        <f>+C22*0.92%*3</f>
        <v>48465.599999999999</v>
      </c>
      <c r="G22" s="123">
        <v>0.11</v>
      </c>
    </row>
    <row r="23" spans="1:11" ht="15" x14ac:dyDescent="0.25">
      <c r="A23" s="118" t="s">
        <v>207</v>
      </c>
      <c r="B23" s="21" t="s">
        <v>202</v>
      </c>
      <c r="C23" s="119">
        <f t="shared" si="2"/>
        <v>1426600</v>
      </c>
      <c r="D23" s="120">
        <f t="shared" si="3"/>
        <v>329400</v>
      </c>
      <c r="E23" s="121">
        <f t="shared" si="1"/>
        <v>1097200</v>
      </c>
      <c r="F23" s="129">
        <f>+C23*0.92%*3</f>
        <v>39374.159999999996</v>
      </c>
      <c r="G23" s="123">
        <v>0.11</v>
      </c>
    </row>
    <row r="24" spans="1:11" ht="15" x14ac:dyDescent="0.25">
      <c r="A24" s="118"/>
      <c r="B24" s="21" t="s">
        <v>203</v>
      </c>
      <c r="C24" s="119">
        <f t="shared" si="2"/>
        <v>1097200</v>
      </c>
      <c r="D24" s="120">
        <f t="shared" si="3"/>
        <v>329400</v>
      </c>
      <c r="E24" s="121">
        <f t="shared" si="1"/>
        <v>767800</v>
      </c>
      <c r="F24" s="129">
        <f>+C24*0.92%*3</f>
        <v>30282.720000000001</v>
      </c>
      <c r="G24" s="123">
        <v>0.11</v>
      </c>
    </row>
    <row r="25" spans="1:11" ht="15" x14ac:dyDescent="0.25">
      <c r="A25" s="124"/>
      <c r="B25" s="21" t="s">
        <v>204</v>
      </c>
      <c r="C25" s="119">
        <f t="shared" si="2"/>
        <v>767800</v>
      </c>
      <c r="D25" s="120">
        <f t="shared" si="3"/>
        <v>329400</v>
      </c>
      <c r="E25" s="121">
        <f t="shared" si="1"/>
        <v>438400</v>
      </c>
      <c r="F25" s="129">
        <f>+C25*0.92%*3</f>
        <v>21191.279999999999</v>
      </c>
      <c r="G25" s="123">
        <v>0.11</v>
      </c>
    </row>
    <row r="26" spans="1:11" ht="14.25" x14ac:dyDescent="0.2">
      <c r="A26" s="108" t="s">
        <v>88</v>
      </c>
      <c r="B26" s="46"/>
      <c r="C26" s="61"/>
      <c r="D26" s="125">
        <f>SUM(D22:D25)</f>
        <v>1317600</v>
      </c>
      <c r="E26" s="125"/>
      <c r="F26" s="127">
        <f>SUM(F22:F25)</f>
        <v>139313.76</v>
      </c>
      <c r="G26" s="130"/>
    </row>
    <row r="27" spans="1:11" ht="15" x14ac:dyDescent="0.25">
      <c r="A27" s="118"/>
      <c r="B27" s="21" t="s">
        <v>200</v>
      </c>
      <c r="C27" s="119">
        <f>+E25</f>
        <v>438400</v>
      </c>
      <c r="D27" s="120">
        <f t="shared" si="3"/>
        <v>329400</v>
      </c>
      <c r="E27" s="121">
        <f t="shared" ref="E27:E30" si="4">+C27-D27</f>
        <v>109000</v>
      </c>
      <c r="F27" s="122">
        <f>+C27*0.92%*3</f>
        <v>12099.84</v>
      </c>
      <c r="G27" s="123">
        <v>0.11</v>
      </c>
    </row>
    <row r="28" spans="1:11" ht="15" x14ac:dyDescent="0.25">
      <c r="A28" s="118" t="s">
        <v>208</v>
      </c>
      <c r="B28" s="21" t="s">
        <v>202</v>
      </c>
      <c r="C28" s="119">
        <f>+E27</f>
        <v>109000</v>
      </c>
      <c r="D28" s="120">
        <v>109000</v>
      </c>
      <c r="E28" s="121">
        <f t="shared" si="4"/>
        <v>0</v>
      </c>
      <c r="F28" s="122">
        <f>+C28*0.92%*3</f>
        <v>3008.3999999999996</v>
      </c>
      <c r="G28" s="123">
        <v>0.11</v>
      </c>
    </row>
    <row r="29" spans="1:11" ht="15" x14ac:dyDescent="0.25">
      <c r="A29" s="118"/>
      <c r="B29" s="21" t="s">
        <v>203</v>
      </c>
      <c r="C29" s="119">
        <f>+E28</f>
        <v>0</v>
      </c>
      <c r="D29" s="120">
        <v>0</v>
      </c>
      <c r="E29" s="121">
        <f t="shared" si="4"/>
        <v>0</v>
      </c>
      <c r="F29" s="122">
        <f>+C29*0.92%*3</f>
        <v>0</v>
      </c>
      <c r="G29" s="123">
        <v>0.11</v>
      </c>
    </row>
    <row r="30" spans="1:11" ht="15" x14ac:dyDescent="0.25">
      <c r="A30" s="124"/>
      <c r="B30" s="21" t="s">
        <v>204</v>
      </c>
      <c r="C30" s="119">
        <f>+E29</f>
        <v>0</v>
      </c>
      <c r="D30" s="120">
        <v>0</v>
      </c>
      <c r="E30" s="121">
        <f t="shared" si="4"/>
        <v>0</v>
      </c>
      <c r="F30" s="122">
        <f>+C30*0.92%*3</f>
        <v>0</v>
      </c>
      <c r="G30" s="123">
        <v>0.11</v>
      </c>
    </row>
    <row r="31" spans="1:11" ht="15" x14ac:dyDescent="0.25">
      <c r="A31" s="16" t="s">
        <v>88</v>
      </c>
      <c r="B31" s="16"/>
      <c r="C31" s="131"/>
      <c r="D31" s="132">
        <f>SUM(D27:D30)</f>
        <v>438400</v>
      </c>
      <c r="E31" s="50"/>
      <c r="F31" s="132">
        <f>SUM(F27:F30)</f>
        <v>15108.24</v>
      </c>
      <c r="G31" s="133"/>
    </row>
    <row r="32" spans="1:11" ht="15" x14ac:dyDescent="0.25">
      <c r="A32" s="16"/>
      <c r="B32" s="16"/>
      <c r="C32" s="131"/>
      <c r="D32" s="132"/>
      <c r="E32" s="50"/>
      <c r="F32" s="132"/>
      <c r="G32" s="133"/>
    </row>
    <row r="33" spans="1:7" ht="15" x14ac:dyDescent="0.25">
      <c r="A33" s="1" t="s">
        <v>209</v>
      </c>
      <c r="B33" s="1"/>
      <c r="C33" s="52"/>
      <c r="D33" s="70">
        <f>+D11+D16+D21+D26+D31</f>
        <v>5708800</v>
      </c>
      <c r="E33" s="1"/>
      <c r="F33" s="70">
        <f>+F11+F16+F21+F26+F31</f>
        <v>1797907.2</v>
      </c>
      <c r="G33" s="2"/>
    </row>
    <row r="34" spans="1:7" ht="15" x14ac:dyDescent="0.25">
      <c r="A34" s="2"/>
      <c r="B34" s="2"/>
      <c r="C34" s="3"/>
      <c r="D34" s="2"/>
      <c r="E34" s="2"/>
      <c r="F34" s="2"/>
      <c r="G34" s="2"/>
    </row>
    <row r="36" spans="1:7" x14ac:dyDescent="0.2">
      <c r="A36" s="180" t="s">
        <v>230</v>
      </c>
    </row>
    <row r="37" spans="1:7" x14ac:dyDescent="0.2">
      <c r="A37" s="178" t="s">
        <v>231</v>
      </c>
    </row>
  </sheetData>
  <pageMargins left="0.2" right="0.17" top="0.75" bottom="0.75" header="0.3" footer="0.3"/>
  <pageSetup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DF55C-9771-40E7-A562-C1A5941C0765}">
  <dimension ref="B2:I43"/>
  <sheetViews>
    <sheetView workbookViewId="0">
      <selection activeCell="B3" sqref="B3"/>
    </sheetView>
  </sheetViews>
  <sheetFormatPr defaultRowHeight="12.75" x14ac:dyDescent="0.2"/>
  <cols>
    <col min="1" max="1" width="6.140625" customWidth="1"/>
    <col min="2" max="2" width="47.42578125" customWidth="1"/>
    <col min="3" max="5" width="14" bestFit="1" customWidth="1"/>
    <col min="6" max="7" width="15" bestFit="1" customWidth="1"/>
  </cols>
  <sheetData>
    <row r="2" spans="2:9" ht="20.25" x14ac:dyDescent="0.3">
      <c r="B2" s="233" t="str">
        <f>+'Interest schedule'!A2</f>
        <v>M/s Abc</v>
      </c>
      <c r="C2" s="233"/>
      <c r="D2" s="233"/>
      <c r="E2" s="233"/>
      <c r="F2" s="233"/>
      <c r="G2" s="233"/>
    </row>
    <row r="3" spans="2:9" ht="14.25" x14ac:dyDescent="0.2">
      <c r="B3" s="1" t="s">
        <v>215</v>
      </c>
    </row>
    <row r="8" spans="2:9" ht="22.5" x14ac:dyDescent="0.3">
      <c r="B8" s="232" t="s">
        <v>214</v>
      </c>
      <c r="C8" s="232"/>
      <c r="D8" s="232"/>
      <c r="E8" s="232"/>
      <c r="F8" s="232"/>
      <c r="G8" s="232"/>
    </row>
    <row r="12" spans="2:9" ht="15" x14ac:dyDescent="0.2">
      <c r="B12" s="83" t="s">
        <v>137</v>
      </c>
      <c r="C12" s="71">
        <v>2022</v>
      </c>
      <c r="D12" s="46">
        <v>2023</v>
      </c>
      <c r="E12" s="46">
        <v>2024</v>
      </c>
      <c r="F12" s="46">
        <v>2025</v>
      </c>
      <c r="G12" s="46">
        <v>2026</v>
      </c>
    </row>
    <row r="13" spans="2:9" ht="15" x14ac:dyDescent="0.2">
      <c r="B13" s="171"/>
      <c r="C13" s="172"/>
      <c r="D13" s="173"/>
      <c r="E13" s="173"/>
      <c r="F13" s="173"/>
      <c r="G13" s="173"/>
    </row>
    <row r="14" spans="2:9" ht="15" x14ac:dyDescent="0.25">
      <c r="B14" s="174" t="s">
        <v>216</v>
      </c>
      <c r="C14" s="172"/>
      <c r="D14" s="173"/>
      <c r="E14" s="173"/>
      <c r="F14" s="173"/>
      <c r="G14" s="173"/>
    </row>
    <row r="15" spans="2:9" ht="15" x14ac:dyDescent="0.25">
      <c r="B15" s="89"/>
      <c r="C15" s="90"/>
      <c r="D15" s="90"/>
      <c r="E15" s="90"/>
      <c r="F15" s="90"/>
      <c r="G15" s="90"/>
    </row>
    <row r="16" spans="2:9" ht="14.25" x14ac:dyDescent="0.2">
      <c r="B16" s="82" t="s">
        <v>218</v>
      </c>
      <c r="C16" s="86">
        <f>+profit!B7/120</f>
        <v>397539.88333333336</v>
      </c>
      <c r="D16" s="86">
        <f>+profit!C7/120</f>
        <v>645722.56666666665</v>
      </c>
      <c r="E16" s="86">
        <f>645723+32287</f>
        <v>678010</v>
      </c>
      <c r="F16" s="86">
        <f>+E24*105%-2</f>
        <v>813609.87249999994</v>
      </c>
      <c r="G16" s="86">
        <f>+F24*105%+1</f>
        <v>976333.14699999988</v>
      </c>
      <c r="I16" s="176"/>
    </row>
    <row r="17" spans="2:9" ht="14.25" x14ac:dyDescent="0.2">
      <c r="B17" s="82"/>
      <c r="C17" s="86"/>
      <c r="D17" s="86"/>
      <c r="E17" s="86"/>
      <c r="F17" s="86"/>
      <c r="G17" s="86"/>
    </row>
    <row r="18" spans="2:9" ht="15" x14ac:dyDescent="0.25">
      <c r="B18" s="174" t="s">
        <v>222</v>
      </c>
      <c r="C18" s="86"/>
      <c r="D18" s="86"/>
      <c r="E18" s="86"/>
      <c r="F18" s="86"/>
      <c r="G18" s="86"/>
      <c r="I18" s="177"/>
    </row>
    <row r="19" spans="2:9" ht="15" thickBot="1" x14ac:dyDescent="0.25">
      <c r="B19" s="82"/>
      <c r="C19" s="86"/>
      <c r="D19" s="86"/>
      <c r="E19" s="86"/>
      <c r="F19" s="86"/>
      <c r="G19" s="86"/>
    </row>
    <row r="20" spans="2:9" ht="16.5" thickTop="1" thickBot="1" x14ac:dyDescent="0.3">
      <c r="B20" s="82" t="s">
        <v>218</v>
      </c>
      <c r="C20" s="175"/>
      <c r="D20" s="175"/>
      <c r="E20" s="86">
        <f>645723*15%</f>
        <v>96858.45</v>
      </c>
      <c r="F20" s="86">
        <f>+E24*15%</f>
        <v>116230.26749999999</v>
      </c>
      <c r="G20" s="86">
        <f>+F24*15%</f>
        <v>139476.02099999998</v>
      </c>
    </row>
    <row r="21" spans="2:9" ht="15" thickTop="1" x14ac:dyDescent="0.2">
      <c r="B21" s="82"/>
      <c r="C21" s="86"/>
      <c r="D21" s="86"/>
      <c r="E21" s="86"/>
      <c r="F21" s="86"/>
      <c r="G21" s="86"/>
    </row>
    <row r="22" spans="2:9" ht="14.25" x14ac:dyDescent="0.2">
      <c r="B22" s="82"/>
      <c r="C22" s="86"/>
      <c r="D22" s="86"/>
      <c r="E22" s="86"/>
      <c r="F22" s="86"/>
      <c r="G22" s="86"/>
    </row>
    <row r="23" spans="2:9" ht="14.25" x14ac:dyDescent="0.2">
      <c r="B23" s="82"/>
      <c r="C23" s="86"/>
      <c r="D23" s="86"/>
      <c r="E23" s="86"/>
      <c r="F23" s="86"/>
      <c r="G23" s="86"/>
    </row>
    <row r="24" spans="2:9" ht="15" x14ac:dyDescent="0.25">
      <c r="B24" s="89" t="s">
        <v>219</v>
      </c>
      <c r="C24" s="87">
        <f>+C16</f>
        <v>397539.88333333336</v>
      </c>
      <c r="D24" s="87">
        <f t="shared" ref="D24" si="0">+D16</f>
        <v>645722.56666666665</v>
      </c>
      <c r="E24" s="87">
        <f>+E16+E20</f>
        <v>774868.45</v>
      </c>
      <c r="F24" s="87">
        <f t="shared" ref="F24:G24" si="1">+F16+F20</f>
        <v>929840.1399999999</v>
      </c>
      <c r="G24" s="87">
        <f t="shared" si="1"/>
        <v>1115809.1679999998</v>
      </c>
    </row>
    <row r="25" spans="2:9" ht="14.25" x14ac:dyDescent="0.2">
      <c r="B25" s="82" t="s">
        <v>226</v>
      </c>
      <c r="C25" s="72"/>
      <c r="D25" s="72"/>
      <c r="E25" s="72"/>
      <c r="F25" s="72"/>
      <c r="G25" s="72"/>
    </row>
    <row r="26" spans="2:9" ht="14.25" x14ac:dyDescent="0.2">
      <c r="B26" s="82"/>
      <c r="C26" s="72"/>
      <c r="D26" s="72"/>
      <c r="E26" s="72"/>
      <c r="F26" s="72"/>
      <c r="G26" s="72"/>
    </row>
    <row r="27" spans="2:9" ht="15" x14ac:dyDescent="0.25">
      <c r="B27" s="89" t="s">
        <v>217</v>
      </c>
      <c r="C27" s="91"/>
      <c r="D27" s="91"/>
      <c r="E27" s="91"/>
      <c r="F27" s="91"/>
      <c r="G27" s="91"/>
    </row>
    <row r="28" spans="2:9" ht="14.25" x14ac:dyDescent="0.2">
      <c r="B28" s="82" t="s">
        <v>220</v>
      </c>
      <c r="C28" s="86">
        <f>+C24*120</f>
        <v>47704786</v>
      </c>
      <c r="D28" s="86">
        <f t="shared" ref="D28:G28" si="2">+D24*120</f>
        <v>77486708</v>
      </c>
      <c r="E28" s="86">
        <f t="shared" si="2"/>
        <v>92984214</v>
      </c>
      <c r="F28" s="86">
        <f t="shared" si="2"/>
        <v>111580816.79999998</v>
      </c>
      <c r="G28" s="86">
        <f t="shared" si="2"/>
        <v>133897100.15999998</v>
      </c>
    </row>
    <row r="29" spans="2:9" ht="15" x14ac:dyDescent="0.25">
      <c r="B29" s="89"/>
      <c r="C29" s="86"/>
      <c r="D29" s="86"/>
      <c r="E29" s="86"/>
      <c r="F29" s="86"/>
      <c r="G29" s="86"/>
    </row>
    <row r="30" spans="2:9" ht="14.25" x14ac:dyDescent="0.2">
      <c r="B30" s="82"/>
      <c r="C30" s="91"/>
      <c r="D30" s="91"/>
      <c r="E30" s="91"/>
      <c r="F30" s="91"/>
      <c r="G30" s="91"/>
    </row>
    <row r="31" spans="2:9" ht="14.25" x14ac:dyDescent="0.2">
      <c r="B31" s="82"/>
      <c r="C31" s="91"/>
      <c r="D31" s="91"/>
      <c r="E31" s="91"/>
      <c r="F31" s="91"/>
      <c r="G31" s="91"/>
    </row>
    <row r="32" spans="2:9" ht="14.25" x14ac:dyDescent="0.2">
      <c r="B32" s="82"/>
      <c r="C32" s="91"/>
      <c r="D32" s="91"/>
      <c r="E32" s="91"/>
      <c r="F32" s="91"/>
      <c r="G32" s="91"/>
    </row>
    <row r="33" spans="2:7" ht="14.25" x14ac:dyDescent="0.2">
      <c r="B33" s="82"/>
      <c r="C33" s="86"/>
      <c r="D33" s="86"/>
      <c r="E33" s="86"/>
      <c r="F33" s="86"/>
      <c r="G33" s="86"/>
    </row>
    <row r="34" spans="2:7" ht="15.75" thickBot="1" x14ac:dyDescent="0.3">
      <c r="B34" s="92" t="s">
        <v>221</v>
      </c>
      <c r="C34" s="93">
        <f>+C28</f>
        <v>47704786</v>
      </c>
      <c r="D34" s="93">
        <f t="shared" ref="D34:G34" si="3">+D28</f>
        <v>77486708</v>
      </c>
      <c r="E34" s="93">
        <f t="shared" si="3"/>
        <v>92984214</v>
      </c>
      <c r="F34" s="93">
        <f t="shared" si="3"/>
        <v>111580816.79999998</v>
      </c>
      <c r="G34" s="93">
        <f t="shared" si="3"/>
        <v>133897100.15999998</v>
      </c>
    </row>
    <row r="35" spans="2:7" ht="13.5" thickTop="1" x14ac:dyDescent="0.2"/>
    <row r="37" spans="2:7" x14ac:dyDescent="0.2">
      <c r="B37" s="178"/>
      <c r="C37" s="177"/>
      <c r="D37" s="177"/>
      <c r="E37" s="177"/>
      <c r="F37" s="177"/>
      <c r="G37" s="177"/>
    </row>
    <row r="38" spans="2:7" x14ac:dyDescent="0.2">
      <c r="B38" s="180" t="s">
        <v>223</v>
      </c>
      <c r="C38" s="177"/>
      <c r="D38" s="177"/>
      <c r="E38" s="177"/>
      <c r="F38" s="177"/>
      <c r="G38" s="177"/>
    </row>
    <row r="40" spans="2:7" x14ac:dyDescent="0.2">
      <c r="B40" s="179" t="s">
        <v>224</v>
      </c>
    </row>
    <row r="41" spans="2:7" x14ac:dyDescent="0.2">
      <c r="B41" s="179" t="s">
        <v>225</v>
      </c>
    </row>
    <row r="42" spans="2:7" x14ac:dyDescent="0.2">
      <c r="B42" s="179" t="s">
        <v>227</v>
      </c>
    </row>
    <row r="43" spans="2:7" x14ac:dyDescent="0.2">
      <c r="B43" s="179" t="s">
        <v>228</v>
      </c>
    </row>
  </sheetData>
  <mergeCells count="2">
    <mergeCell ref="B8:G8"/>
    <mergeCell ref="B2:G2"/>
  </mergeCells>
  <pageMargins left="0.16" right="0.23" top="0.75" bottom="0.75" header="0.3" footer="0.3"/>
  <pageSetup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7A09B-A872-48BF-85E2-718CF3198795}">
  <sheetPr>
    <tabColor rgb="FF92D050"/>
  </sheetPr>
  <dimension ref="A1:G38"/>
  <sheetViews>
    <sheetView tabSelected="1" workbookViewId="0">
      <selection activeCell="G9" sqref="G9"/>
    </sheetView>
  </sheetViews>
  <sheetFormatPr defaultColWidth="9.140625" defaultRowHeight="15" x14ac:dyDescent="0.25"/>
  <cols>
    <col min="1" max="1" width="42.42578125" style="2" bestFit="1" customWidth="1"/>
    <col min="2" max="2" width="14.85546875" style="2" bestFit="1" customWidth="1"/>
    <col min="3" max="3" width="15.7109375" style="2" bestFit="1" customWidth="1"/>
    <col min="4" max="4" width="14.85546875" style="2" bestFit="1" customWidth="1"/>
    <col min="5" max="5" width="16.7109375" style="2" customWidth="1"/>
    <col min="6" max="6" width="16.42578125" style="2" customWidth="1"/>
    <col min="7" max="7" width="15.7109375" style="2" bestFit="1" customWidth="1"/>
    <col min="8" max="16384" width="9.140625" style="2"/>
  </cols>
  <sheetData>
    <row r="1" spans="1:7" ht="22.5" x14ac:dyDescent="0.3">
      <c r="A1" s="234" t="str">
        <f>+'Annex 7 ROI'!A1:F1</f>
        <v>M/s ABC</v>
      </c>
      <c r="B1" s="234"/>
      <c r="C1" s="234"/>
      <c r="D1" s="234"/>
      <c r="E1" s="234"/>
      <c r="F1" s="234"/>
      <c r="G1" s="234"/>
    </row>
    <row r="2" spans="1:7" x14ac:dyDescent="0.25">
      <c r="A2" s="235"/>
      <c r="B2" s="235"/>
      <c r="C2" s="235"/>
      <c r="D2" s="235"/>
      <c r="E2" s="235"/>
      <c r="F2" s="235"/>
      <c r="G2" s="235"/>
    </row>
    <row r="3" spans="1:7" x14ac:dyDescent="0.25">
      <c r="A3" s="188"/>
      <c r="B3" s="188"/>
      <c r="C3" s="188"/>
      <c r="D3" s="188"/>
      <c r="E3" s="188"/>
      <c r="F3" s="188"/>
      <c r="G3" s="188"/>
    </row>
    <row r="4" spans="1:7" x14ac:dyDescent="0.25">
      <c r="A4" s="236" t="s">
        <v>239</v>
      </c>
      <c r="B4" s="236"/>
      <c r="C4" s="236"/>
      <c r="D4" s="236"/>
      <c r="E4" s="236"/>
      <c r="F4" s="236"/>
      <c r="G4" s="236"/>
    </row>
    <row r="7" spans="1:7" x14ac:dyDescent="0.25">
      <c r="A7" s="1" t="s">
        <v>215</v>
      </c>
      <c r="B7" s="1"/>
      <c r="C7" s="1"/>
    </row>
    <row r="8" spans="1:7" x14ac:dyDescent="0.25">
      <c r="C8" s="12"/>
      <c r="D8" s="12"/>
      <c r="E8" s="12"/>
      <c r="F8" s="12"/>
      <c r="G8" s="12"/>
    </row>
    <row r="9" spans="1:7" x14ac:dyDescent="0.25">
      <c r="A9" s="1" t="s">
        <v>232</v>
      </c>
      <c r="B9" s="1"/>
      <c r="C9" s="70"/>
      <c r="D9" s="70"/>
      <c r="E9" s="70"/>
      <c r="F9" s="70"/>
      <c r="G9" s="70"/>
    </row>
    <row r="10" spans="1:7" x14ac:dyDescent="0.25">
      <c r="A10" s="201" t="s">
        <v>5</v>
      </c>
      <c r="B10" s="183"/>
      <c r="C10" s="226" t="s">
        <v>233</v>
      </c>
      <c r="D10" s="226"/>
      <c r="E10" s="226"/>
      <c r="F10" s="226"/>
      <c r="G10" s="226"/>
    </row>
    <row r="11" spans="1:7" x14ac:dyDescent="0.25">
      <c r="A11" s="206"/>
      <c r="B11" s="184"/>
      <c r="C11" s="71">
        <v>2022</v>
      </c>
      <c r="D11" s="46">
        <v>2023</v>
      </c>
      <c r="E11" s="46">
        <v>2024</v>
      </c>
      <c r="F11" s="46">
        <v>2025</v>
      </c>
      <c r="G11" s="46">
        <v>2026</v>
      </c>
    </row>
    <row r="12" spans="1:7" x14ac:dyDescent="0.25">
      <c r="A12" s="189" t="s">
        <v>234</v>
      </c>
      <c r="B12" s="190"/>
      <c r="C12" s="9"/>
      <c r="D12" s="191"/>
      <c r="E12" s="7"/>
      <c r="F12" s="35"/>
      <c r="G12" s="10"/>
    </row>
    <row r="13" spans="1:7" x14ac:dyDescent="0.25">
      <c r="A13" s="200" t="s">
        <v>240</v>
      </c>
      <c r="B13" s="27"/>
      <c r="C13" s="27">
        <v>138245</v>
      </c>
      <c r="D13" s="10">
        <v>2253719.7200000002</v>
      </c>
      <c r="E13" s="185">
        <v>3144808.72</v>
      </c>
      <c r="F13" s="185">
        <f>+E13-F26</f>
        <v>2673087.412</v>
      </c>
      <c r="G13" s="185">
        <f>+F13-G26</f>
        <v>2272124.412</v>
      </c>
    </row>
    <row r="14" spans="1:7" x14ac:dyDescent="0.25">
      <c r="A14" s="200" t="s">
        <v>241</v>
      </c>
      <c r="B14" s="27"/>
      <c r="C14" s="27"/>
      <c r="D14" s="10"/>
      <c r="E14" s="185">
        <v>5476000</v>
      </c>
      <c r="F14" s="185">
        <f t="shared" ref="F14:F22" si="0">+E14-F27</f>
        <v>4654600</v>
      </c>
      <c r="G14" s="185">
        <v>3955900</v>
      </c>
    </row>
    <row r="15" spans="1:7" x14ac:dyDescent="0.25">
      <c r="A15" s="200" t="s">
        <v>242</v>
      </c>
      <c r="B15" s="27"/>
      <c r="C15" s="27">
        <v>29809</v>
      </c>
      <c r="D15" s="10">
        <f>+C15-D28</f>
        <v>26828</v>
      </c>
      <c r="E15" s="185">
        <v>24145</v>
      </c>
      <c r="F15" s="185">
        <f t="shared" si="0"/>
        <v>21730.67</v>
      </c>
      <c r="G15" s="185">
        <v>19557.599999999999</v>
      </c>
    </row>
    <row r="16" spans="1:7" x14ac:dyDescent="0.25">
      <c r="A16" s="200" t="s">
        <v>243</v>
      </c>
      <c r="B16" s="27"/>
      <c r="C16" s="27">
        <v>11036</v>
      </c>
      <c r="D16" s="10">
        <f>+C16-D29</f>
        <v>9381</v>
      </c>
      <c r="E16" s="185">
        <v>7974</v>
      </c>
      <c r="F16" s="185">
        <f t="shared" si="0"/>
        <v>6778</v>
      </c>
      <c r="G16" s="185">
        <f t="shared" ref="G16:G22" si="1">+F16-G29</f>
        <v>5761.3</v>
      </c>
    </row>
    <row r="17" spans="1:7" x14ac:dyDescent="0.25">
      <c r="A17" s="200" t="s">
        <v>244</v>
      </c>
      <c r="B17" s="27"/>
      <c r="C17" s="27"/>
      <c r="D17" s="10">
        <v>7122</v>
      </c>
      <c r="E17" s="185">
        <v>6054</v>
      </c>
      <c r="F17" s="185">
        <f t="shared" si="0"/>
        <v>5146</v>
      </c>
      <c r="G17" s="185">
        <v>4374</v>
      </c>
    </row>
    <row r="18" spans="1:7" x14ac:dyDescent="0.25">
      <c r="A18" s="200" t="s">
        <v>245</v>
      </c>
      <c r="B18" s="27"/>
      <c r="C18" s="27"/>
      <c r="D18" s="10">
        <v>7968</v>
      </c>
      <c r="E18" s="185">
        <v>6773</v>
      </c>
      <c r="F18" s="185">
        <f t="shared" si="0"/>
        <v>5757.05</v>
      </c>
      <c r="G18" s="185">
        <f t="shared" si="1"/>
        <v>4893.5</v>
      </c>
    </row>
    <row r="19" spans="1:7" x14ac:dyDescent="0.25">
      <c r="A19" s="200" t="s">
        <v>246</v>
      </c>
      <c r="B19" s="27"/>
      <c r="C19" s="27"/>
      <c r="D19" s="10">
        <v>1455822</v>
      </c>
      <c r="E19" s="185">
        <v>1310240</v>
      </c>
      <c r="F19" s="185">
        <f t="shared" si="0"/>
        <v>1179216</v>
      </c>
      <c r="G19" s="185">
        <f t="shared" si="1"/>
        <v>1061294.3999999999</v>
      </c>
    </row>
    <row r="20" spans="1:7" x14ac:dyDescent="0.25">
      <c r="A20" s="200" t="s">
        <v>247</v>
      </c>
      <c r="B20" s="27"/>
      <c r="C20" s="27">
        <v>562400</v>
      </c>
      <c r="D20" s="10">
        <f>+C20</f>
        <v>562400</v>
      </c>
      <c r="E20" s="185">
        <v>2462400</v>
      </c>
      <c r="F20" s="185">
        <f t="shared" si="0"/>
        <v>2462400</v>
      </c>
      <c r="G20" s="185">
        <f t="shared" si="1"/>
        <v>2462400</v>
      </c>
    </row>
    <row r="21" spans="1:7" x14ac:dyDescent="0.25">
      <c r="A21" s="200" t="s">
        <v>248</v>
      </c>
      <c r="B21" s="27"/>
      <c r="C21" s="27"/>
      <c r="D21" s="10"/>
      <c r="E21" s="185">
        <v>27571</v>
      </c>
      <c r="F21" s="185">
        <f t="shared" si="0"/>
        <v>23435</v>
      </c>
      <c r="G21" s="185">
        <f t="shared" si="1"/>
        <v>19919.75</v>
      </c>
    </row>
    <row r="22" spans="1:7" x14ac:dyDescent="0.25">
      <c r="A22" s="200" t="s">
        <v>249</v>
      </c>
      <c r="B22" s="27"/>
      <c r="C22" s="27"/>
      <c r="D22" s="10"/>
      <c r="E22" s="185">
        <v>10800</v>
      </c>
      <c r="F22" s="185">
        <f t="shared" si="0"/>
        <v>6480</v>
      </c>
      <c r="G22" s="185">
        <f t="shared" si="1"/>
        <v>3888</v>
      </c>
    </row>
    <row r="23" spans="1:7" x14ac:dyDescent="0.25">
      <c r="A23" s="111" t="s">
        <v>235</v>
      </c>
      <c r="B23" s="111"/>
      <c r="C23" s="61">
        <f>SUM(C12:C22)</f>
        <v>741490</v>
      </c>
      <c r="D23" s="61">
        <f>SUM(D12:D22)</f>
        <v>4323240.7200000007</v>
      </c>
      <c r="E23" s="61">
        <f>SUM(E12:E22)</f>
        <v>12476765.720000001</v>
      </c>
      <c r="F23" s="61">
        <f>SUM(F12:F22)</f>
        <v>11038630.131999999</v>
      </c>
      <c r="G23" s="61">
        <f>SUM(G12:G22)</f>
        <v>9810112.9619999994</v>
      </c>
    </row>
    <row r="24" spans="1:7" x14ac:dyDescent="0.25">
      <c r="A24" s="34"/>
      <c r="B24" s="6" t="s">
        <v>236</v>
      </c>
      <c r="C24" s="10"/>
      <c r="D24" s="10"/>
      <c r="E24" s="185"/>
      <c r="F24" s="10"/>
      <c r="G24" s="10"/>
    </row>
    <row r="25" spans="1:7" x14ac:dyDescent="0.25">
      <c r="A25" s="192" t="s">
        <v>237</v>
      </c>
      <c r="B25" s="34"/>
      <c r="C25" s="10"/>
      <c r="D25" s="10"/>
      <c r="E25" s="7"/>
      <c r="F25" s="10"/>
      <c r="G25" s="185"/>
    </row>
    <row r="26" spans="1:7" x14ac:dyDescent="0.25">
      <c r="A26" s="200" t="s">
        <v>240</v>
      </c>
      <c r="B26" s="190">
        <v>0.15</v>
      </c>
      <c r="C26" s="10">
        <v>22190</v>
      </c>
      <c r="D26" s="10">
        <v>199896</v>
      </c>
      <c r="E26" s="7">
        <v>551148</v>
      </c>
      <c r="F26" s="10">
        <f>+E13*B26</f>
        <v>471721.30800000002</v>
      </c>
      <c r="G26" s="185">
        <v>400963</v>
      </c>
    </row>
    <row r="27" spans="1:7" x14ac:dyDescent="0.25">
      <c r="A27" s="200" t="s">
        <v>241</v>
      </c>
      <c r="B27" s="190">
        <v>0.15</v>
      </c>
      <c r="C27" s="10">
        <v>0</v>
      </c>
      <c r="D27" s="10">
        <v>0</v>
      </c>
      <c r="E27" s="10">
        <v>444000</v>
      </c>
      <c r="F27" s="10">
        <f>+E14*B27</f>
        <v>821400</v>
      </c>
      <c r="G27" s="185">
        <v>698100</v>
      </c>
    </row>
    <row r="28" spans="1:7" x14ac:dyDescent="0.25">
      <c r="A28" s="200" t="s">
        <v>242</v>
      </c>
      <c r="B28" s="190">
        <v>0.1</v>
      </c>
      <c r="C28" s="10">
        <v>3312</v>
      </c>
      <c r="D28" s="10">
        <v>2981</v>
      </c>
      <c r="E28" s="10">
        <v>2683</v>
      </c>
      <c r="F28" s="10">
        <v>2414.33</v>
      </c>
      <c r="G28" s="185">
        <v>2173</v>
      </c>
    </row>
    <row r="29" spans="1:7" x14ac:dyDescent="0.25">
      <c r="A29" s="200" t="s">
        <v>243</v>
      </c>
      <c r="B29" s="190">
        <v>0.15</v>
      </c>
      <c r="C29" s="10">
        <v>1948</v>
      </c>
      <c r="D29" s="10">
        <v>1655</v>
      </c>
      <c r="E29" s="10">
        <v>1407</v>
      </c>
      <c r="F29" s="10">
        <v>1196</v>
      </c>
      <c r="G29" s="185">
        <f t="shared" ref="G29:G35" si="2">+F16*B29</f>
        <v>1016.6999999999999</v>
      </c>
    </row>
    <row r="30" spans="1:7" x14ac:dyDescent="0.25">
      <c r="A30" s="200" t="s">
        <v>244</v>
      </c>
      <c r="B30" s="190">
        <v>0.15</v>
      </c>
      <c r="C30" s="10">
        <v>0</v>
      </c>
      <c r="D30" s="10">
        <v>578</v>
      </c>
      <c r="E30" s="10">
        <v>1068</v>
      </c>
      <c r="F30" s="10">
        <v>908</v>
      </c>
      <c r="G30" s="185">
        <f t="shared" si="2"/>
        <v>771.9</v>
      </c>
    </row>
    <row r="31" spans="1:7" x14ac:dyDescent="0.25">
      <c r="A31" s="200" t="s">
        <v>245</v>
      </c>
      <c r="B31" s="190">
        <v>0.15</v>
      </c>
      <c r="C31" s="10">
        <f>+C17*B31/2</f>
        <v>0</v>
      </c>
      <c r="D31" s="10">
        <v>646</v>
      </c>
      <c r="E31" s="10">
        <v>1195</v>
      </c>
      <c r="F31" s="10">
        <f>+E18*B31</f>
        <v>1015.9499999999999</v>
      </c>
      <c r="G31" s="185">
        <v>863.55</v>
      </c>
    </row>
    <row r="32" spans="1:7" x14ac:dyDescent="0.25">
      <c r="A32" s="200" t="s">
        <v>246</v>
      </c>
      <c r="B32" s="190">
        <v>0.1</v>
      </c>
      <c r="C32" s="10">
        <f>+C18*B32/2</f>
        <v>0</v>
      </c>
      <c r="D32" s="10">
        <v>76622</v>
      </c>
      <c r="E32" s="10">
        <v>145582</v>
      </c>
      <c r="F32" s="10">
        <v>131024</v>
      </c>
      <c r="G32" s="185">
        <f t="shared" si="2"/>
        <v>117921.60000000001</v>
      </c>
    </row>
    <row r="33" spans="1:7" x14ac:dyDescent="0.25">
      <c r="A33" s="200" t="s">
        <v>247</v>
      </c>
      <c r="B33" s="190">
        <v>0</v>
      </c>
      <c r="C33" s="10">
        <f>+C19*B33/2</f>
        <v>0</v>
      </c>
      <c r="D33" s="10">
        <f>+D19*$B33</f>
        <v>0</v>
      </c>
      <c r="E33" s="10">
        <f>+E19*$B33</f>
        <v>0</v>
      </c>
      <c r="F33" s="10">
        <f>+E20*B33</f>
        <v>0</v>
      </c>
      <c r="G33" s="185">
        <f t="shared" si="2"/>
        <v>0</v>
      </c>
    </row>
    <row r="34" spans="1:7" x14ac:dyDescent="0.25">
      <c r="A34" s="200" t="s">
        <v>248</v>
      </c>
      <c r="B34" s="190">
        <v>0.15</v>
      </c>
      <c r="C34" s="10">
        <v>0</v>
      </c>
      <c r="D34" s="10">
        <f>+D20*$B340</f>
        <v>0</v>
      </c>
      <c r="E34" s="10">
        <v>4866</v>
      </c>
      <c r="F34" s="10">
        <v>4136</v>
      </c>
      <c r="G34" s="185">
        <f>+F21*B34</f>
        <v>3515.25</v>
      </c>
    </row>
    <row r="35" spans="1:7" x14ac:dyDescent="0.25">
      <c r="A35" s="200" t="s">
        <v>249</v>
      </c>
      <c r="B35" s="190">
        <v>0.4</v>
      </c>
      <c r="C35" s="10">
        <f>+C21*B35/2</f>
        <v>0</v>
      </c>
      <c r="D35" s="10">
        <f>+D21*$B35</f>
        <v>0</v>
      </c>
      <c r="E35" s="10">
        <v>7200</v>
      </c>
      <c r="F35" s="10">
        <f>+E22*B35</f>
        <v>4320</v>
      </c>
      <c r="G35" s="185">
        <f t="shared" si="2"/>
        <v>2592</v>
      </c>
    </row>
    <row r="36" spans="1:7" x14ac:dyDescent="0.25">
      <c r="A36" s="111" t="s">
        <v>238</v>
      </c>
      <c r="B36" s="111"/>
      <c r="C36" s="61">
        <f>SUM(C26:C35)</f>
        <v>27450</v>
      </c>
      <c r="D36" s="61">
        <f t="shared" ref="D36:G36" si="3">SUM(D26:D35)</f>
        <v>282378</v>
      </c>
      <c r="E36" s="61">
        <f t="shared" si="3"/>
        <v>1159149</v>
      </c>
      <c r="F36" s="61">
        <f t="shared" si="3"/>
        <v>1438135.588</v>
      </c>
      <c r="G36" s="61">
        <f t="shared" si="3"/>
        <v>1227917</v>
      </c>
    </row>
    <row r="38" spans="1:7" x14ac:dyDescent="0.25">
      <c r="C38" s="12"/>
      <c r="D38" s="12"/>
      <c r="E38" s="12"/>
      <c r="F38" s="12"/>
      <c r="G38" s="12"/>
    </row>
  </sheetData>
  <mergeCells count="5">
    <mergeCell ref="A1:G1"/>
    <mergeCell ref="A2:G2"/>
    <mergeCell ref="A4:G4"/>
    <mergeCell ref="A10:A11"/>
    <mergeCell ref="C10:G10"/>
  </mergeCells>
  <pageMargins left="0.16" right="0.23" top="0.16" bottom="0.16" header="0.21" footer="0.16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55"/>
  <sheetViews>
    <sheetView view="pageBreakPreview" zoomScale="120" zoomScaleNormal="100" zoomScaleSheetLayoutView="120" workbookViewId="0">
      <selection activeCell="E10" sqref="E10"/>
    </sheetView>
  </sheetViews>
  <sheetFormatPr defaultColWidth="19.7109375" defaultRowHeight="15" x14ac:dyDescent="0.25"/>
  <cols>
    <col min="1" max="1" width="11.42578125" style="2" customWidth="1"/>
    <col min="2" max="2" width="24.42578125" style="2" customWidth="1"/>
    <col min="3" max="3" width="5.42578125" style="2" customWidth="1"/>
    <col min="4" max="4" width="11.7109375" style="2" customWidth="1"/>
    <col min="5" max="5" width="20.42578125" style="2" bestFit="1" customWidth="1"/>
    <col min="6" max="6" width="14.7109375" style="2" customWidth="1"/>
    <col min="7" max="7" width="16.42578125" style="2" customWidth="1"/>
    <col min="8" max="8" width="19.7109375" style="2" customWidth="1"/>
    <col min="9" max="9" width="9" style="2" customWidth="1"/>
    <col min="10" max="10" width="19.7109375" style="2" customWidth="1"/>
    <col min="11" max="11" width="11.42578125" style="2" customWidth="1"/>
    <col min="12" max="12" width="19.7109375" style="2" customWidth="1"/>
    <col min="13" max="13" width="6" style="2" customWidth="1"/>
    <col min="14" max="16384" width="19.7109375" style="2"/>
  </cols>
  <sheetData>
    <row r="1" spans="1:8" x14ac:dyDescent="0.25">
      <c r="A1" s="205" t="s">
        <v>251</v>
      </c>
      <c r="B1" s="205"/>
      <c r="C1" s="205"/>
      <c r="D1" s="205"/>
      <c r="E1" s="205"/>
      <c r="F1" s="205"/>
      <c r="G1" s="205"/>
      <c r="H1" s="205"/>
    </row>
    <row r="2" spans="1:8" x14ac:dyDescent="0.25">
      <c r="A2" s="1" t="s">
        <v>181</v>
      </c>
    </row>
    <row r="3" spans="1:8" x14ac:dyDescent="0.25">
      <c r="A3" s="1" t="s">
        <v>13</v>
      </c>
    </row>
    <row r="4" spans="1:8" x14ac:dyDescent="0.25">
      <c r="A4" s="16">
        <v>1</v>
      </c>
      <c r="B4" s="1" t="s">
        <v>14</v>
      </c>
      <c r="C4" s="16" t="s">
        <v>15</v>
      </c>
      <c r="D4" s="2" t="str">
        <f>+A1</f>
        <v>M/s ABC</v>
      </c>
    </row>
    <row r="5" spans="1:8" x14ac:dyDescent="0.25">
      <c r="A5" s="16">
        <v>2</v>
      </c>
      <c r="B5" s="1" t="s">
        <v>17</v>
      </c>
      <c r="C5" s="16" t="s">
        <v>15</v>
      </c>
      <c r="D5" s="13" t="s">
        <v>63</v>
      </c>
    </row>
    <row r="6" spans="1:8" x14ac:dyDescent="0.25">
      <c r="A6" s="16"/>
      <c r="B6" s="1"/>
      <c r="C6" s="16"/>
      <c r="D6" s="59"/>
    </row>
    <row r="7" spans="1:8" x14ac:dyDescent="0.25">
      <c r="A7" s="16"/>
      <c r="B7" s="1"/>
      <c r="C7" s="16"/>
      <c r="D7" s="13"/>
    </row>
    <row r="8" spans="1:8" x14ac:dyDescent="0.25">
      <c r="A8" s="16"/>
      <c r="B8" s="1"/>
      <c r="C8" s="16"/>
      <c r="D8" s="13"/>
    </row>
    <row r="9" spans="1:8" x14ac:dyDescent="0.25">
      <c r="A9" s="16"/>
      <c r="B9" s="1"/>
      <c r="C9" s="16"/>
    </row>
    <row r="10" spans="1:8" x14ac:dyDescent="0.25">
      <c r="A10" s="16"/>
      <c r="B10" s="1"/>
      <c r="C10" s="16"/>
    </row>
    <row r="11" spans="1:8" x14ac:dyDescent="0.25">
      <c r="A11" s="16">
        <v>3</v>
      </c>
      <c r="B11" s="1" t="s">
        <v>46</v>
      </c>
      <c r="C11" s="16" t="s">
        <v>15</v>
      </c>
      <c r="D11" s="2" t="s">
        <v>86</v>
      </c>
    </row>
    <row r="12" spans="1:8" x14ac:dyDescent="0.25">
      <c r="A12" s="16"/>
      <c r="B12" s="1"/>
      <c r="C12" s="16"/>
    </row>
    <row r="13" spans="1:8" x14ac:dyDescent="0.25">
      <c r="A13" s="16">
        <v>4</v>
      </c>
      <c r="B13" s="1" t="s">
        <v>0</v>
      </c>
      <c r="C13" s="16" t="s">
        <v>15</v>
      </c>
      <c r="D13" s="2" t="s">
        <v>90</v>
      </c>
    </row>
    <row r="14" spans="1:8" x14ac:dyDescent="0.25">
      <c r="A14" s="16"/>
      <c r="B14" s="1" t="s">
        <v>91</v>
      </c>
      <c r="C14" s="16" t="s">
        <v>15</v>
      </c>
    </row>
    <row r="15" spans="1:8" x14ac:dyDescent="0.25">
      <c r="A15" s="5"/>
      <c r="C15" s="16"/>
    </row>
    <row r="16" spans="1:8" x14ac:dyDescent="0.25">
      <c r="A16" s="5"/>
      <c r="C16" s="16"/>
    </row>
    <row r="17" spans="1:9" x14ac:dyDescent="0.25">
      <c r="A17" s="5"/>
      <c r="C17" s="16"/>
      <c r="D17" s="5"/>
    </row>
    <row r="18" spans="1:9" x14ac:dyDescent="0.25">
      <c r="A18" s="5"/>
      <c r="D18" s="5"/>
    </row>
    <row r="19" spans="1:9" x14ac:dyDescent="0.25">
      <c r="A19" s="5">
        <v>5</v>
      </c>
      <c r="B19" s="1" t="s">
        <v>22</v>
      </c>
      <c r="C19" s="16" t="s">
        <v>15</v>
      </c>
      <c r="E19" s="14"/>
      <c r="F19" s="14"/>
      <c r="G19" s="14" t="s">
        <v>23</v>
      </c>
    </row>
    <row r="20" spans="1:9" x14ac:dyDescent="0.25">
      <c r="A20" s="5"/>
      <c r="B20" s="44" t="s">
        <v>24</v>
      </c>
      <c r="C20" s="45"/>
      <c r="D20" s="45"/>
      <c r="E20" s="46" t="s">
        <v>93</v>
      </c>
      <c r="F20" s="46" t="s">
        <v>92</v>
      </c>
      <c r="G20" s="46" t="s">
        <v>25</v>
      </c>
    </row>
    <row r="21" spans="1:9" ht="59.25" customHeight="1" x14ac:dyDescent="0.25">
      <c r="A21" s="5"/>
      <c r="B21" s="207" t="s">
        <v>96</v>
      </c>
      <c r="C21" s="208"/>
      <c r="D21" s="209"/>
      <c r="E21" s="9">
        <v>6</v>
      </c>
      <c r="F21" s="9">
        <v>800000</v>
      </c>
      <c r="G21" s="9">
        <f>+E21*F21</f>
        <v>4800000</v>
      </c>
    </row>
    <row r="22" spans="1:9" ht="36" customHeight="1" x14ac:dyDescent="0.25">
      <c r="A22" s="5"/>
      <c r="B22" s="210" t="s">
        <v>94</v>
      </c>
      <c r="C22" s="211"/>
      <c r="D22" s="212"/>
      <c r="E22" s="10">
        <v>1</v>
      </c>
      <c r="F22" s="10">
        <v>550000</v>
      </c>
      <c r="G22" s="10">
        <f>+E22*F22</f>
        <v>550000</v>
      </c>
    </row>
    <row r="23" spans="1:9" x14ac:dyDescent="0.25">
      <c r="A23" s="5"/>
      <c r="B23" s="15" t="s">
        <v>95</v>
      </c>
      <c r="D23" s="7"/>
      <c r="E23" s="10">
        <v>1</v>
      </c>
      <c r="F23" s="10">
        <v>570000</v>
      </c>
      <c r="G23" s="10">
        <f>+E23*F23</f>
        <v>570000</v>
      </c>
      <c r="I23" s="7"/>
    </row>
    <row r="24" spans="1:9" x14ac:dyDescent="0.25">
      <c r="A24" s="5"/>
      <c r="B24" s="18"/>
      <c r="C24" s="23"/>
      <c r="D24" s="23"/>
      <c r="E24" s="11"/>
      <c r="F24" s="11"/>
      <c r="G24" s="11"/>
    </row>
    <row r="25" spans="1:9" x14ac:dyDescent="0.25">
      <c r="A25" s="5"/>
      <c r="B25" s="15"/>
      <c r="E25" s="10"/>
      <c r="F25" s="10" t="s">
        <v>97</v>
      </c>
      <c r="G25" s="10">
        <f>+G21+G22+G23</f>
        <v>5920000</v>
      </c>
    </row>
    <row r="26" spans="1:9" x14ac:dyDescent="0.25">
      <c r="A26" s="5"/>
      <c r="B26" s="15"/>
      <c r="E26" s="10"/>
      <c r="F26" s="68" t="s">
        <v>98</v>
      </c>
      <c r="G26" s="10">
        <f>+G25*18%</f>
        <v>1065600</v>
      </c>
    </row>
    <row r="27" spans="1:9" x14ac:dyDescent="0.25">
      <c r="A27" s="5"/>
      <c r="B27" s="15"/>
      <c r="E27" s="10"/>
      <c r="F27" s="10"/>
      <c r="G27" s="10"/>
    </row>
    <row r="28" spans="1:9" x14ac:dyDescent="0.25">
      <c r="A28" s="5"/>
      <c r="B28" s="63" t="s">
        <v>25</v>
      </c>
      <c r="C28" s="47"/>
      <c r="D28" s="66"/>
      <c r="E28" s="61"/>
      <c r="F28" s="61" t="s">
        <v>88</v>
      </c>
      <c r="G28" s="61">
        <f>+G25+G26</f>
        <v>6985600</v>
      </c>
    </row>
    <row r="29" spans="1:9" x14ac:dyDescent="0.25">
      <c r="A29" s="5"/>
      <c r="D29" s="12"/>
      <c r="F29" s="7"/>
    </row>
    <row r="30" spans="1:9" x14ac:dyDescent="0.25">
      <c r="A30" s="5"/>
      <c r="B30" s="1" t="s">
        <v>28</v>
      </c>
      <c r="C30" s="16" t="s">
        <v>15</v>
      </c>
      <c r="D30" s="16"/>
      <c r="F30" s="7"/>
    </row>
    <row r="31" spans="1:9" x14ac:dyDescent="0.25">
      <c r="A31" s="5"/>
      <c r="B31" s="44" t="s">
        <v>24</v>
      </c>
      <c r="C31" s="45"/>
      <c r="D31" s="45"/>
      <c r="E31" s="46" t="s">
        <v>25</v>
      </c>
    </row>
    <row r="32" spans="1:9" x14ac:dyDescent="0.25">
      <c r="A32" s="5"/>
      <c r="B32" s="15" t="s">
        <v>87</v>
      </c>
      <c r="C32" s="16"/>
      <c r="D32" s="48"/>
      <c r="E32" s="49">
        <f>+G28-E33</f>
        <v>1935600</v>
      </c>
    </row>
    <row r="33" spans="1:8" x14ac:dyDescent="0.25">
      <c r="A33" s="5"/>
      <c r="B33" s="15" t="s">
        <v>64</v>
      </c>
      <c r="C33" s="16"/>
      <c r="D33" s="7"/>
      <c r="E33" s="49">
        <v>5050000</v>
      </c>
    </row>
    <row r="34" spans="1:8" x14ac:dyDescent="0.25">
      <c r="A34" s="5"/>
      <c r="B34" s="15"/>
      <c r="C34" s="16"/>
      <c r="D34" s="7"/>
      <c r="E34" s="49"/>
    </row>
    <row r="35" spans="1:8" x14ac:dyDescent="0.25">
      <c r="A35" s="5"/>
      <c r="B35" s="63" t="s">
        <v>25</v>
      </c>
      <c r="C35" s="47"/>
      <c r="D35" s="67"/>
      <c r="E35" s="65">
        <f>+E32+E33</f>
        <v>6985600</v>
      </c>
    </row>
    <row r="36" spans="1:8" x14ac:dyDescent="0.25">
      <c r="A36" s="5"/>
      <c r="B36" s="1"/>
      <c r="C36" s="16"/>
      <c r="D36" s="50"/>
      <c r="E36" s="105"/>
    </row>
    <row r="37" spans="1:8" x14ac:dyDescent="0.25">
      <c r="A37" s="5"/>
      <c r="B37" s="1"/>
      <c r="C37" s="16"/>
      <c r="D37" s="50"/>
      <c r="E37" s="105"/>
    </row>
    <row r="38" spans="1:8" x14ac:dyDescent="0.25">
      <c r="A38" s="5"/>
      <c r="B38" s="1"/>
      <c r="C38" s="16"/>
      <c r="D38" s="50"/>
      <c r="E38" s="105"/>
      <c r="H38" s="14" t="s">
        <v>186</v>
      </c>
    </row>
    <row r="39" spans="1:8" x14ac:dyDescent="0.25">
      <c r="A39" s="5"/>
      <c r="B39" s="111" t="s">
        <v>137</v>
      </c>
      <c r="C39" s="45"/>
      <c r="D39" s="71">
        <v>2022</v>
      </c>
      <c r="E39" s="46">
        <v>2023</v>
      </c>
      <c r="F39" s="46">
        <v>2024</v>
      </c>
      <c r="G39" s="46">
        <v>2025</v>
      </c>
      <c r="H39" s="46">
        <v>2026</v>
      </c>
    </row>
    <row r="40" spans="1:8" x14ac:dyDescent="0.25">
      <c r="A40" s="106"/>
      <c r="B40" s="34" t="s">
        <v>31</v>
      </c>
      <c r="C40" s="5">
        <v>6</v>
      </c>
      <c r="D40" s="109">
        <f>+'Annex 6DSCR'!B17/'Balance sheet '!C20</f>
        <v>2.3439132246525281E-2</v>
      </c>
      <c r="E40" s="109">
        <f>+'Annex 6DSCR'!C17/'Balance sheet '!D20</f>
        <v>5.0419212496780962E-2</v>
      </c>
      <c r="F40" s="109">
        <f>+'Annex 6DSCR'!D17/'Balance sheet '!E20</f>
        <v>4.3931700907695131E-2</v>
      </c>
      <c r="G40" s="109">
        <f>+'Annex 6DSCR'!E17/'Balance sheet '!F20</f>
        <v>0.1254314110208205</v>
      </c>
      <c r="H40" s="109">
        <f>+'Annex 6DSCR'!F17/'Balance sheet '!G20</f>
        <v>0.10457505269558075</v>
      </c>
    </row>
    <row r="41" spans="1:8" x14ac:dyDescent="0.25">
      <c r="A41" s="106"/>
      <c r="B41" s="34" t="s">
        <v>54</v>
      </c>
      <c r="C41" s="5">
        <v>7</v>
      </c>
      <c r="D41" s="109">
        <f>+'Annex 6DSCR'!B20</f>
        <v>6.6355362946912244</v>
      </c>
      <c r="E41" s="109">
        <f>+'Annex 6DSCR'!C20</f>
        <v>5.9250974881730505</v>
      </c>
      <c r="F41" s="109">
        <f>+'Annex 6DSCR'!D20</f>
        <v>5.1687409394834996</v>
      </c>
      <c r="G41" s="109">
        <f>+'Annex 6DSCR'!E20</f>
        <v>1.8631967522881165</v>
      </c>
      <c r="H41" s="109">
        <f>+'Annex 6DSCR'!F20</f>
        <v>1.9997731015774403</v>
      </c>
    </row>
    <row r="42" spans="1:8" x14ac:dyDescent="0.25">
      <c r="A42" s="106"/>
      <c r="B42" s="34" t="s">
        <v>44</v>
      </c>
      <c r="C42" s="5">
        <v>8</v>
      </c>
      <c r="D42" s="113">
        <f>+profit!B19/profit!B7*100</f>
        <v>12.735455935175979</v>
      </c>
      <c r="E42" s="113">
        <f>+profit!C19/profit!C7*100</f>
        <v>7.1163949822206956</v>
      </c>
      <c r="F42" s="113">
        <f>+profit!D19/profit!D7*100</f>
        <v>9.0738546931386672</v>
      </c>
      <c r="G42" s="113">
        <f>+profit!E19/profit!E7*100</f>
        <v>11.091565472039305</v>
      </c>
      <c r="H42" s="113">
        <f>+profit!F19/profit!F7*100</f>
        <v>13.377093912434193</v>
      </c>
    </row>
    <row r="43" spans="1:8" x14ac:dyDescent="0.25">
      <c r="A43" s="106"/>
      <c r="B43" s="34" t="s">
        <v>45</v>
      </c>
      <c r="C43" s="5">
        <v>9</v>
      </c>
      <c r="D43" s="110">
        <f>+profit!B26/profit!B7*100</f>
        <v>1.2194960899730272</v>
      </c>
      <c r="E43" s="110">
        <f>+profit!C26/profit!C7*100</f>
        <v>1.5072391512619208</v>
      </c>
      <c r="F43" s="110">
        <f>+profit!D26/profit!D7*100</f>
        <v>1.8180470454579836</v>
      </c>
      <c r="G43" s="110">
        <f>+profit!E26/profit!E7*100</f>
        <v>1.9173481071290122</v>
      </c>
      <c r="H43" s="110">
        <f>+profit!F26/profit!F7*100</f>
        <v>2.0468733402096553</v>
      </c>
    </row>
    <row r="44" spans="1:8" x14ac:dyDescent="0.25">
      <c r="A44" s="106"/>
      <c r="B44" s="30" t="s">
        <v>55</v>
      </c>
      <c r="C44" s="114">
        <v>10</v>
      </c>
      <c r="D44" s="112">
        <f>+'Annex 7 ROI'!B32</f>
        <v>3.3914433501297907</v>
      </c>
      <c r="E44" s="112">
        <f>+'Annex 7 ROI'!C32</f>
        <v>8.1956503855550604</v>
      </c>
      <c r="F44" s="112">
        <f>+'Annex 7 ROI'!D32</f>
        <v>14.956566682413278</v>
      </c>
      <c r="G44" s="112">
        <f>+'Annex 7 ROI'!E32</f>
        <v>19.586693044381786</v>
      </c>
      <c r="H44" s="112">
        <f>+'Annex 7 ROI'!F32</f>
        <v>21.221501562977174</v>
      </c>
    </row>
    <row r="45" spans="1:8" x14ac:dyDescent="0.25">
      <c r="A45" s="106"/>
      <c r="B45" s="107"/>
      <c r="C45" s="106"/>
      <c r="D45" s="16"/>
      <c r="E45" s="40"/>
    </row>
    <row r="46" spans="1:8" x14ac:dyDescent="0.25">
      <c r="A46" s="106"/>
      <c r="B46" s="107"/>
      <c r="C46" s="106"/>
      <c r="D46" s="16"/>
      <c r="E46" s="40"/>
    </row>
    <row r="47" spans="1:8" x14ac:dyDescent="0.25">
      <c r="A47" s="106"/>
      <c r="B47" s="107"/>
      <c r="C47" s="106"/>
      <c r="D47" s="16"/>
      <c r="E47" s="40"/>
    </row>
    <row r="48" spans="1:8" x14ac:dyDescent="0.25">
      <c r="A48" s="5"/>
      <c r="C48" s="16"/>
      <c r="D48" s="16"/>
      <c r="E48" s="40"/>
    </row>
    <row r="49" spans="1:5" x14ac:dyDescent="0.25">
      <c r="A49" s="5"/>
      <c r="C49" s="16"/>
      <c r="D49" s="16"/>
      <c r="E49" s="40"/>
    </row>
    <row r="50" spans="1:5" x14ac:dyDescent="0.25">
      <c r="A50" s="5"/>
      <c r="C50" s="16"/>
      <c r="D50" s="16"/>
      <c r="E50" s="40"/>
    </row>
    <row r="51" spans="1:5" x14ac:dyDescent="0.25">
      <c r="A51" s="5"/>
      <c r="C51" s="16"/>
      <c r="D51" s="16"/>
      <c r="E51" s="40"/>
    </row>
    <row r="52" spans="1:5" x14ac:dyDescent="0.25">
      <c r="A52" s="5"/>
      <c r="C52" s="16"/>
      <c r="D52" s="16"/>
      <c r="E52" s="40"/>
    </row>
    <row r="53" spans="1:5" x14ac:dyDescent="0.25">
      <c r="A53" s="5"/>
      <c r="C53" s="16"/>
      <c r="D53" s="16"/>
      <c r="E53" s="14"/>
    </row>
    <row r="54" spans="1:5" x14ac:dyDescent="0.25">
      <c r="A54" s="5"/>
      <c r="C54" s="16"/>
      <c r="D54" s="16"/>
      <c r="E54" s="40"/>
    </row>
    <row r="55" spans="1:5" x14ac:dyDescent="0.25">
      <c r="A55" s="5"/>
      <c r="C55" s="16"/>
      <c r="D55" s="16"/>
    </row>
  </sheetData>
  <mergeCells count="3">
    <mergeCell ref="B21:D21"/>
    <mergeCell ref="B22:D22"/>
    <mergeCell ref="A1:H1"/>
  </mergeCells>
  <phoneticPr fontId="0" type="noConversion"/>
  <hyperlinks>
    <hyperlink ref="F26" r:id="rId1" xr:uid="{D921E228-A102-4D35-BFB6-10AB36F9DE33}"/>
  </hyperlinks>
  <printOptions horizontalCentered="1"/>
  <pageMargins left="0.42" right="0.26" top="1.26" bottom="0.59" header="0.19" footer="0.49"/>
  <pageSetup scale="81" orientation="portrait" horizontalDpi="4294967293" verticalDpi="144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9"/>
  <sheetViews>
    <sheetView view="pageBreakPreview" zoomScale="110" zoomScaleNormal="100" zoomScaleSheetLayoutView="110" workbookViewId="0">
      <selection activeCell="A27" sqref="A27"/>
    </sheetView>
  </sheetViews>
  <sheetFormatPr defaultColWidth="9.140625" defaultRowHeight="15" x14ac:dyDescent="0.25"/>
  <cols>
    <col min="1" max="1" width="55.28515625" style="2" customWidth="1"/>
    <col min="2" max="2" width="14.28515625" style="2" bestFit="1" customWidth="1"/>
    <col min="3" max="3" width="22.140625" style="2" customWidth="1"/>
    <col min="4" max="4" width="11" style="2" customWidth="1"/>
    <col min="5" max="5" width="14.85546875" style="2" bestFit="1" customWidth="1"/>
    <col min="6" max="8" width="10" style="2" customWidth="1"/>
    <col min="9" max="9" width="12.5703125" style="2" customWidth="1"/>
    <col min="10" max="16384" width="9.140625" style="2"/>
  </cols>
  <sheetData>
    <row r="1" spans="1:9" x14ac:dyDescent="0.25">
      <c r="A1" s="205" t="str">
        <f>'PROJECT AT GLANCE'!D4</f>
        <v>M/s ABC</v>
      </c>
      <c r="B1" s="205"/>
      <c r="C1" s="205"/>
      <c r="D1" s="1"/>
      <c r="E1" s="1"/>
    </row>
    <row r="3" spans="1:9" x14ac:dyDescent="0.25">
      <c r="A3" s="1" t="s">
        <v>182</v>
      </c>
      <c r="B3" s="1"/>
      <c r="E3" s="3"/>
    </row>
    <row r="4" spans="1:9" x14ac:dyDescent="0.25">
      <c r="A4" s="1"/>
      <c r="B4" s="1"/>
      <c r="E4" s="3"/>
    </row>
    <row r="5" spans="1:9" x14ac:dyDescent="0.25">
      <c r="A5" s="1" t="s">
        <v>40</v>
      </c>
      <c r="E5" s="3"/>
    </row>
    <row r="6" spans="1:9" x14ac:dyDescent="0.25">
      <c r="A6" s="1"/>
      <c r="E6" s="3"/>
    </row>
    <row r="7" spans="1:9" x14ac:dyDescent="0.25">
      <c r="A7" s="2" t="s">
        <v>43</v>
      </c>
      <c r="C7" s="43">
        <f>+'PROJECT AT GLANCE'!G28</f>
        <v>6985600</v>
      </c>
      <c r="D7" s="4"/>
    </row>
    <row r="8" spans="1:9" x14ac:dyDescent="0.25">
      <c r="D8" s="43"/>
      <c r="E8" s="4"/>
    </row>
    <row r="9" spans="1:9" x14ac:dyDescent="0.25">
      <c r="A9" s="2" t="s">
        <v>42</v>
      </c>
      <c r="E9" s="3"/>
    </row>
    <row r="10" spans="1:9" x14ac:dyDescent="0.25">
      <c r="E10" s="1"/>
    </row>
    <row r="11" spans="1:9" x14ac:dyDescent="0.25">
      <c r="A11" s="1" t="s">
        <v>22</v>
      </c>
      <c r="B11" s="16" t="s">
        <v>15</v>
      </c>
      <c r="C11" s="14" t="s">
        <v>68</v>
      </c>
      <c r="E11" s="14"/>
      <c r="F11" s="205"/>
      <c r="G11" s="205"/>
      <c r="H11" s="16"/>
      <c r="I11" s="16"/>
    </row>
    <row r="12" spans="1:9" x14ac:dyDescent="0.25">
      <c r="A12" s="44" t="s">
        <v>24</v>
      </c>
      <c r="B12" s="45"/>
      <c r="C12" s="46" t="s">
        <v>25</v>
      </c>
      <c r="E12" s="16"/>
      <c r="F12" s="5"/>
      <c r="G12" s="5"/>
      <c r="H12" s="5"/>
      <c r="I12" s="5"/>
    </row>
    <row r="13" spans="1:9" x14ac:dyDescent="0.25">
      <c r="A13" s="69" t="str">
        <f>'PROJECT AT GLANCE'!B21</f>
        <v>Fully Computerized High Speed Flat Knitting
Machine 14GG X 36’’ 3 System With Needles &amp;Accessories</v>
      </c>
      <c r="B13" s="16"/>
      <c r="C13" s="64">
        <f>+'PROJECT AT GLANCE'!G21</f>
        <v>4800000</v>
      </c>
      <c r="E13" s="7"/>
      <c r="F13" s="7"/>
      <c r="G13" s="7"/>
      <c r="H13" s="7"/>
      <c r="I13" s="5"/>
    </row>
    <row r="14" spans="1:9" x14ac:dyDescent="0.25">
      <c r="A14" s="15"/>
      <c r="B14" s="16"/>
      <c r="C14" s="10"/>
      <c r="E14" s="7"/>
      <c r="F14" s="7"/>
      <c r="G14" s="7"/>
      <c r="H14" s="7"/>
      <c r="I14" s="5"/>
    </row>
    <row r="15" spans="1:9" x14ac:dyDescent="0.25">
      <c r="A15" s="62" t="str">
        <f>'PROJECT AT GLANCE'!B22</f>
        <v>Double Head Laser Cutting Machine with
Projector 1600 X 1000mm</v>
      </c>
      <c r="B15" s="16"/>
      <c r="C15" s="64">
        <f>+'PROJECT AT GLANCE'!G22</f>
        <v>550000</v>
      </c>
      <c r="E15" s="7"/>
      <c r="F15" s="7"/>
      <c r="G15" s="7"/>
      <c r="H15" s="7"/>
      <c r="I15" s="5"/>
    </row>
    <row r="16" spans="1:9" x14ac:dyDescent="0.25">
      <c r="A16" s="213"/>
      <c r="B16" s="214"/>
      <c r="C16" s="64"/>
      <c r="E16" s="7"/>
      <c r="F16" s="7"/>
      <c r="G16" s="7"/>
      <c r="H16" s="7"/>
      <c r="I16" s="5"/>
    </row>
    <row r="17" spans="1:10" x14ac:dyDescent="0.25">
      <c r="A17" s="62" t="str">
        <f>'PROJECT AT GLANCE'!B23</f>
        <v>Heat Press Fusing Machine 1600mm</v>
      </c>
      <c r="C17" s="64">
        <f>+'PROJECT AT GLANCE'!G23</f>
        <v>570000</v>
      </c>
      <c r="E17" s="7"/>
      <c r="F17" s="7"/>
      <c r="G17" s="20"/>
      <c r="H17" s="20"/>
      <c r="I17" s="7"/>
    </row>
    <row r="18" spans="1:10" x14ac:dyDescent="0.25">
      <c r="A18" s="215"/>
      <c r="B18" s="216"/>
      <c r="C18" s="64"/>
      <c r="E18" s="7"/>
      <c r="F18" s="7"/>
      <c r="G18" s="20"/>
      <c r="H18" s="20"/>
      <c r="I18" s="7"/>
    </row>
    <row r="19" spans="1:10" x14ac:dyDescent="0.25">
      <c r="A19" s="62" t="s">
        <v>99</v>
      </c>
      <c r="B19" s="16"/>
      <c r="C19" s="64">
        <f>+'PROJECT AT GLANCE'!G26</f>
        <v>1065600</v>
      </c>
      <c r="E19" s="7"/>
      <c r="F19" s="7"/>
      <c r="G19" s="7"/>
      <c r="H19" s="20"/>
      <c r="I19" s="7"/>
    </row>
    <row r="20" spans="1:10" x14ac:dyDescent="0.25">
      <c r="A20" s="15"/>
      <c r="B20" s="16"/>
      <c r="C20" s="10"/>
      <c r="E20" s="7"/>
      <c r="F20" s="7"/>
      <c r="G20" s="7"/>
      <c r="H20" s="20"/>
      <c r="I20" s="7"/>
    </row>
    <row r="21" spans="1:10" x14ac:dyDescent="0.25">
      <c r="A21" s="63" t="s">
        <v>25</v>
      </c>
      <c r="B21" s="47"/>
      <c r="C21" s="61">
        <f>SUM(C13:C19)</f>
        <v>6985600</v>
      </c>
      <c r="E21" s="7"/>
      <c r="F21" s="7"/>
      <c r="G21" s="7"/>
      <c r="H21" s="20"/>
      <c r="I21" s="7"/>
    </row>
    <row r="22" spans="1:10" x14ac:dyDescent="0.25">
      <c r="E22" s="7"/>
      <c r="F22" s="7"/>
      <c r="G22" s="20"/>
      <c r="H22" s="20"/>
      <c r="I22" s="7"/>
    </row>
    <row r="23" spans="1:10" x14ac:dyDescent="0.25">
      <c r="A23" s="1" t="s">
        <v>28</v>
      </c>
      <c r="B23" s="16" t="s">
        <v>15</v>
      </c>
      <c r="E23" s="16"/>
      <c r="F23" s="7"/>
      <c r="G23" s="7"/>
      <c r="H23" s="7"/>
      <c r="I23" s="7"/>
    </row>
    <row r="24" spans="1:10" x14ac:dyDescent="0.25">
      <c r="A24" s="44" t="s">
        <v>24</v>
      </c>
      <c r="B24" s="45"/>
      <c r="C24" s="46" t="s">
        <v>25</v>
      </c>
      <c r="E24" s="48"/>
      <c r="F24" s="7"/>
      <c r="G24" s="7"/>
      <c r="H24" s="7"/>
      <c r="I24" s="7"/>
    </row>
    <row r="25" spans="1:10" x14ac:dyDescent="0.25">
      <c r="A25" s="15" t="s">
        <v>29</v>
      </c>
      <c r="B25" s="16"/>
      <c r="C25" s="49">
        <f>+'PROJECT AT GLANCE'!E32</f>
        <v>1935600</v>
      </c>
      <c r="E25" s="48"/>
      <c r="F25" s="7"/>
      <c r="G25" s="7"/>
      <c r="H25" s="7"/>
      <c r="I25" s="7"/>
    </row>
    <row r="26" spans="1:10" x14ac:dyDescent="0.25">
      <c r="A26" s="60"/>
      <c r="B26" s="16"/>
      <c r="C26" s="49"/>
      <c r="E26" s="48"/>
      <c r="F26" s="7"/>
      <c r="G26" s="7"/>
      <c r="H26" s="7"/>
      <c r="I26" s="7"/>
    </row>
    <row r="27" spans="1:10" x14ac:dyDescent="0.25">
      <c r="A27" s="15" t="s">
        <v>64</v>
      </c>
      <c r="B27" s="16"/>
      <c r="C27" s="49">
        <v>5050000</v>
      </c>
      <c r="E27" s="48"/>
      <c r="F27" s="16"/>
      <c r="G27" s="50"/>
    </row>
    <row r="28" spans="1:10" x14ac:dyDescent="0.25">
      <c r="A28" s="63" t="s">
        <v>25</v>
      </c>
      <c r="B28" s="47"/>
      <c r="C28" s="65">
        <f>+C25+C26+C27</f>
        <v>6985600</v>
      </c>
      <c r="D28" s="1"/>
      <c r="E28" s="48">
        <f>+C28-C21</f>
        <v>0</v>
      </c>
      <c r="F28" s="5"/>
      <c r="G28" s="5"/>
      <c r="H28" s="5"/>
      <c r="I28" s="5"/>
    </row>
    <row r="30" spans="1:10" x14ac:dyDescent="0.25">
      <c r="B30" s="16"/>
      <c r="C30" s="16"/>
      <c r="D30" s="16"/>
      <c r="E30" s="51"/>
      <c r="F30" s="51"/>
      <c r="G30" s="52"/>
      <c r="J30" s="53"/>
    </row>
    <row r="31" spans="1:10" x14ac:dyDescent="0.25">
      <c r="B31" s="16"/>
      <c r="D31" s="16"/>
      <c r="E31" s="52"/>
      <c r="F31" s="52"/>
      <c r="G31" s="52"/>
    </row>
    <row r="32" spans="1:10" x14ac:dyDescent="0.25">
      <c r="B32" s="16"/>
      <c r="C32" s="16"/>
      <c r="D32" s="16"/>
      <c r="E32" s="42"/>
      <c r="F32" s="42"/>
      <c r="G32" s="42"/>
    </row>
    <row r="33" spans="2:7" x14ac:dyDescent="0.25">
      <c r="B33" s="16"/>
      <c r="C33" s="16"/>
      <c r="D33" s="16"/>
      <c r="E33" s="42"/>
      <c r="F33" s="42"/>
      <c r="G33" s="42"/>
    </row>
    <row r="34" spans="2:7" x14ac:dyDescent="0.25">
      <c r="B34" s="16"/>
      <c r="C34" s="16"/>
      <c r="D34" s="16"/>
      <c r="E34" s="54"/>
      <c r="F34" s="54"/>
      <c r="G34" s="54"/>
    </row>
    <row r="35" spans="2:7" x14ac:dyDescent="0.25">
      <c r="B35" s="16"/>
      <c r="C35" s="16"/>
      <c r="D35" s="16"/>
      <c r="E35" s="55"/>
      <c r="F35" s="55"/>
    </row>
    <row r="36" spans="2:7" x14ac:dyDescent="0.25">
      <c r="B36" s="16"/>
      <c r="C36" s="16"/>
      <c r="D36" s="16"/>
      <c r="E36" s="16"/>
      <c r="F36" s="16"/>
      <c r="G36" s="16"/>
    </row>
    <row r="37" spans="2:7" x14ac:dyDescent="0.25">
      <c r="B37" s="16"/>
      <c r="C37" s="16"/>
      <c r="D37" s="16"/>
      <c r="E37" s="16"/>
      <c r="F37" s="16"/>
      <c r="G37" s="16"/>
    </row>
    <row r="38" spans="2:7" x14ac:dyDescent="0.25">
      <c r="B38" s="16"/>
      <c r="C38" s="16"/>
      <c r="D38" s="16"/>
      <c r="E38" s="16"/>
      <c r="F38" s="16"/>
      <c r="G38" s="16"/>
    </row>
    <row r="39" spans="2:7" x14ac:dyDescent="0.25">
      <c r="B39" s="16"/>
      <c r="C39" s="16"/>
      <c r="D39" s="16"/>
      <c r="E39" s="16"/>
      <c r="F39" s="16"/>
      <c r="G39" s="16"/>
    </row>
  </sheetData>
  <mergeCells count="4">
    <mergeCell ref="F11:G11"/>
    <mergeCell ref="A16:B16"/>
    <mergeCell ref="A18:B18"/>
    <mergeCell ref="A1:C1"/>
  </mergeCells>
  <phoneticPr fontId="0" type="noConversion"/>
  <printOptions horizontalCentered="1" verticalCentered="1"/>
  <pageMargins left="0.25" right="0.7" top="0.38" bottom="1.71" header="0.28999999999999998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4"/>
  <sheetViews>
    <sheetView view="pageBreakPreview" topLeftCell="A16" zoomScaleNormal="100" zoomScaleSheetLayoutView="100" workbookViewId="0">
      <selection activeCell="I38" sqref="I38"/>
    </sheetView>
  </sheetViews>
  <sheetFormatPr defaultColWidth="9.140625" defaultRowHeight="15" x14ac:dyDescent="0.25"/>
  <cols>
    <col min="1" max="1" width="51.85546875" style="134" customWidth="1"/>
    <col min="2" max="2" width="15.42578125" style="134" customWidth="1"/>
    <col min="3" max="3" width="16.5703125" style="134" customWidth="1"/>
    <col min="4" max="4" width="16.42578125" style="134" customWidth="1"/>
    <col min="5" max="5" width="17.85546875" style="134" customWidth="1"/>
    <col min="6" max="6" width="16.42578125" style="134" customWidth="1"/>
    <col min="7" max="8" width="9.140625" style="134"/>
    <col min="9" max="9" width="13.7109375" style="134" bestFit="1" customWidth="1"/>
    <col min="10" max="16384" width="9.140625" style="134"/>
  </cols>
  <sheetData>
    <row r="1" spans="1:9" x14ac:dyDescent="0.25">
      <c r="A1" s="222" t="str">
        <f>+'PROJECT AT GLANCE'!A1</f>
        <v>M/s ABC</v>
      </c>
      <c r="B1" s="222"/>
      <c r="C1" s="222"/>
      <c r="D1" s="222"/>
      <c r="E1" s="222"/>
      <c r="F1" s="222"/>
    </row>
    <row r="2" spans="1:9" x14ac:dyDescent="0.25">
      <c r="A2" s="135" t="s">
        <v>166</v>
      </c>
      <c r="B2" s="135"/>
    </row>
    <row r="3" spans="1:9" x14ac:dyDescent="0.25">
      <c r="A3" s="135" t="s">
        <v>4</v>
      </c>
      <c r="B3" s="135"/>
      <c r="E3" s="136"/>
      <c r="F3" s="136" t="s">
        <v>77</v>
      </c>
    </row>
    <row r="4" spans="1:9" x14ac:dyDescent="0.25">
      <c r="A4" s="217" t="s">
        <v>5</v>
      </c>
      <c r="B4" s="219" t="s">
        <v>75</v>
      </c>
      <c r="C4" s="220"/>
      <c r="D4" s="220"/>
      <c r="E4" s="220"/>
      <c r="F4" s="221"/>
    </row>
    <row r="5" spans="1:9" x14ac:dyDescent="0.25">
      <c r="A5" s="218"/>
      <c r="B5" s="137">
        <v>2022</v>
      </c>
      <c r="C5" s="138">
        <v>2023</v>
      </c>
      <c r="D5" s="139">
        <v>2024</v>
      </c>
      <c r="E5" s="138">
        <v>2025</v>
      </c>
      <c r="F5" s="138">
        <v>2026</v>
      </c>
    </row>
    <row r="6" spans="1:9" x14ac:dyDescent="0.25">
      <c r="A6" s="140" t="s">
        <v>210</v>
      </c>
      <c r="B6" s="140"/>
      <c r="C6" s="141"/>
      <c r="D6" s="142"/>
      <c r="E6" s="141"/>
      <c r="F6" s="141"/>
    </row>
    <row r="7" spans="1:9" x14ac:dyDescent="0.25">
      <c r="A7" s="143" t="s">
        <v>185</v>
      </c>
      <c r="B7" s="144">
        <v>47704786</v>
      </c>
      <c r="C7" s="144">
        <v>77486708</v>
      </c>
      <c r="D7" s="145">
        <f>+C7*120%</f>
        <v>92984049.599999994</v>
      </c>
      <c r="E7" s="72">
        <f>+D7*120%</f>
        <v>111580859.52</v>
      </c>
      <c r="F7" s="72">
        <f>+E7*120%</f>
        <v>133897031.42399999</v>
      </c>
    </row>
    <row r="8" spans="1:9" x14ac:dyDescent="0.25">
      <c r="A8" s="143" t="s">
        <v>104</v>
      </c>
      <c r="B8" s="144">
        <v>721393</v>
      </c>
      <c r="C8" s="144">
        <v>5635568</v>
      </c>
      <c r="D8" s="145">
        <v>13515230</v>
      </c>
      <c r="E8" s="72">
        <f>+D8*115%</f>
        <v>15542514.499999998</v>
      </c>
      <c r="F8" s="72">
        <f>+E8*105%</f>
        <v>16319640.225</v>
      </c>
    </row>
    <row r="9" spans="1:9" x14ac:dyDescent="0.25">
      <c r="A9" s="146" t="s">
        <v>106</v>
      </c>
      <c r="B9" s="144">
        <v>135</v>
      </c>
      <c r="C9" s="144">
        <v>23409</v>
      </c>
      <c r="D9" s="145"/>
      <c r="E9" s="144"/>
      <c r="F9" s="144"/>
    </row>
    <row r="10" spans="1:9" x14ac:dyDescent="0.25">
      <c r="A10" s="147" t="s">
        <v>88</v>
      </c>
      <c r="B10" s="148">
        <f>SUM(B6:B9)</f>
        <v>48426314</v>
      </c>
      <c r="C10" s="148">
        <f t="shared" ref="C10:F10" si="0">SUM(C6:C9)</f>
        <v>83145685</v>
      </c>
      <c r="D10" s="149">
        <f t="shared" si="0"/>
        <v>106499279.59999999</v>
      </c>
      <c r="E10" s="148">
        <f t="shared" si="0"/>
        <v>127123374.02</v>
      </c>
      <c r="F10" s="148">
        <f t="shared" si="0"/>
        <v>150216671.64899999</v>
      </c>
    </row>
    <row r="11" spans="1:9" x14ac:dyDescent="0.25">
      <c r="A11" s="150" t="s">
        <v>211</v>
      </c>
      <c r="B11" s="151"/>
      <c r="C11" s="141"/>
      <c r="D11" s="141"/>
      <c r="E11" s="141"/>
      <c r="F11" s="141"/>
    </row>
    <row r="12" spans="1:9" x14ac:dyDescent="0.25">
      <c r="A12" s="152" t="s">
        <v>100</v>
      </c>
      <c r="B12" s="151">
        <v>38512268</v>
      </c>
      <c r="C12" s="151">
        <v>68677448.769999996</v>
      </c>
      <c r="D12" s="151">
        <f>+D7*90%</f>
        <v>83685644.640000001</v>
      </c>
      <c r="E12" s="151">
        <v>92054210</v>
      </c>
      <c r="F12" s="141">
        <f>+F7*79%</f>
        <v>105778654.82495999</v>
      </c>
      <c r="I12" s="153"/>
    </row>
    <row r="13" spans="1:9" x14ac:dyDescent="0.25">
      <c r="A13" s="150" t="s">
        <v>101</v>
      </c>
      <c r="B13" s="151">
        <v>1185751</v>
      </c>
      <c r="C13" s="151">
        <f>7147337.63</f>
        <v>7147337.6299999999</v>
      </c>
      <c r="D13" s="151">
        <f>+C13*105%</f>
        <v>7504704.5115</v>
      </c>
      <c r="E13" s="151">
        <f>+D13*105%</f>
        <v>7879939.7370750001</v>
      </c>
      <c r="F13" s="141">
        <f>+E13*120%</f>
        <v>9455927.684489999</v>
      </c>
    </row>
    <row r="14" spans="1:9" x14ac:dyDescent="0.25">
      <c r="A14" s="150" t="s">
        <v>103</v>
      </c>
      <c r="B14" s="151">
        <v>427187</v>
      </c>
      <c r="C14" s="151">
        <v>679232</v>
      </c>
      <c r="D14" s="151">
        <v>383119</v>
      </c>
      <c r="E14" s="151">
        <v>402274</v>
      </c>
      <c r="F14" s="141">
        <v>422387</v>
      </c>
    </row>
    <row r="15" spans="1:9" x14ac:dyDescent="0.25">
      <c r="A15" s="150" t="s">
        <v>105</v>
      </c>
      <c r="B15" s="151">
        <v>994684</v>
      </c>
      <c r="C15" s="151">
        <f>+B8</f>
        <v>721393</v>
      </c>
      <c r="D15" s="151">
        <f>+C8</f>
        <v>5635568</v>
      </c>
      <c r="E15" s="151">
        <f>+D8</f>
        <v>13515230</v>
      </c>
      <c r="F15" s="141">
        <f>+E8</f>
        <v>15542514.499999998</v>
      </c>
    </row>
    <row r="16" spans="1:9" x14ac:dyDescent="0.25">
      <c r="A16" s="150" t="s">
        <v>102</v>
      </c>
      <c r="B16" s="154">
        <v>1231002</v>
      </c>
      <c r="C16" s="154">
        <f>406013.4</f>
        <v>406013.4</v>
      </c>
      <c r="D16" s="154">
        <v>853005.9</v>
      </c>
      <c r="E16" s="154">
        <f>+D16*105%</f>
        <v>895656.19500000007</v>
      </c>
      <c r="F16" s="166">
        <v>1105656</v>
      </c>
    </row>
    <row r="17" spans="1:9" x14ac:dyDescent="0.25">
      <c r="A17" s="155" t="s">
        <v>78</v>
      </c>
      <c r="B17" s="149">
        <f>SUM(B11:B16)</f>
        <v>42350892</v>
      </c>
      <c r="C17" s="149">
        <f>SUM(C11:C16)</f>
        <v>77631424.799999997</v>
      </c>
      <c r="D17" s="149">
        <f>SUM(D11:D16)</f>
        <v>98062042.051500008</v>
      </c>
      <c r="E17" s="149">
        <f>SUM(E11:E16)</f>
        <v>114747309.93207499</v>
      </c>
      <c r="F17" s="148">
        <f>SUM(F11:F16)</f>
        <v>132305140.00944999</v>
      </c>
      <c r="I17" s="186"/>
    </row>
    <row r="18" spans="1:9" x14ac:dyDescent="0.25">
      <c r="A18" s="150"/>
      <c r="B18" s="156"/>
      <c r="C18" s="157"/>
      <c r="D18" s="157"/>
      <c r="E18" s="157"/>
      <c r="F18" s="157"/>
    </row>
    <row r="19" spans="1:9" x14ac:dyDescent="0.25">
      <c r="A19" s="155" t="s">
        <v>7</v>
      </c>
      <c r="B19" s="158">
        <f>+B10-B17</f>
        <v>6075422</v>
      </c>
      <c r="C19" s="158">
        <f>+C10-C17</f>
        <v>5514260.200000003</v>
      </c>
      <c r="D19" s="158">
        <f>+D10-D17</f>
        <v>8437237.5484999865</v>
      </c>
      <c r="E19" s="158">
        <f>+E10-E17</f>
        <v>12376064.087925002</v>
      </c>
      <c r="F19" s="163">
        <f>+F10-F17</f>
        <v>17911531.63955</v>
      </c>
      <c r="I19" s="186"/>
    </row>
    <row r="20" spans="1:9" x14ac:dyDescent="0.25">
      <c r="A20" s="150"/>
      <c r="B20" s="145"/>
      <c r="C20" s="145"/>
      <c r="D20" s="145"/>
      <c r="E20" s="145"/>
      <c r="F20" s="145"/>
    </row>
    <row r="21" spans="1:9" x14ac:dyDescent="0.25">
      <c r="A21" s="150" t="s">
        <v>12</v>
      </c>
      <c r="B21" s="145">
        <v>101530</v>
      </c>
      <c r="C21" s="144">
        <f>667258.06-400000</f>
        <v>267258.06000000006</v>
      </c>
      <c r="D21" s="144">
        <v>284775</v>
      </c>
      <c r="E21" s="144">
        <v>527215</v>
      </c>
      <c r="F21" s="144">
        <v>478728</v>
      </c>
    </row>
    <row r="22" spans="1:9" x14ac:dyDescent="0.25">
      <c r="A22" s="150"/>
      <c r="B22" s="159"/>
      <c r="C22" s="160"/>
      <c r="D22" s="160"/>
      <c r="E22" s="160"/>
      <c r="F22" s="160"/>
    </row>
    <row r="23" spans="1:9" x14ac:dyDescent="0.25">
      <c r="A23" s="150"/>
      <c r="B23" s="156"/>
      <c r="C23" s="156"/>
      <c r="D23" s="157"/>
      <c r="E23" s="157"/>
      <c r="F23" s="161"/>
    </row>
    <row r="24" spans="1:9" x14ac:dyDescent="0.25">
      <c r="A24" s="150" t="s">
        <v>89</v>
      </c>
      <c r="B24" s="145">
        <f>5364685+27449</f>
        <v>5392134</v>
      </c>
      <c r="C24" s="145">
        <f>3396715+282377.14+400000</f>
        <v>4079092.14</v>
      </c>
      <c r="D24" s="72">
        <f>+C24*130%+1159149</f>
        <v>6461968.7820000006</v>
      </c>
      <c r="E24" s="72">
        <f>+E32+8271320</f>
        <v>9709455.5899999999</v>
      </c>
      <c r="F24" s="167">
        <f>13464184+1227917</f>
        <v>14692101</v>
      </c>
    </row>
    <row r="25" spans="1:9" x14ac:dyDescent="0.25">
      <c r="A25" s="150"/>
      <c r="B25" s="145"/>
      <c r="C25" s="145"/>
      <c r="D25" s="144"/>
      <c r="E25" s="144"/>
      <c r="F25" s="162"/>
    </row>
    <row r="26" spans="1:9" x14ac:dyDescent="0.25">
      <c r="A26" s="155" t="s">
        <v>8</v>
      </c>
      <c r="B26" s="158">
        <f>(B19-(B21+B24))</f>
        <v>581758</v>
      </c>
      <c r="C26" s="158">
        <f>(C19-(C21+C24))</f>
        <v>1167910.0000000028</v>
      </c>
      <c r="D26" s="163">
        <f>(D19-(D21+D24))</f>
        <v>1690493.7664999859</v>
      </c>
      <c r="E26" s="163">
        <f>(E19-(E21+E24))</f>
        <v>2139393.4979250021</v>
      </c>
      <c r="F26" s="168">
        <f>(F19-(F21+F24))</f>
        <v>2740702.6395500004</v>
      </c>
    </row>
    <row r="27" spans="1:9" x14ac:dyDescent="0.25">
      <c r="A27" s="150"/>
      <c r="B27" s="145"/>
      <c r="C27" s="145"/>
      <c r="D27" s="145"/>
      <c r="E27" s="145"/>
      <c r="F27" s="145"/>
    </row>
    <row r="28" spans="1:9" x14ac:dyDescent="0.25">
      <c r="A28" s="150" t="s">
        <v>9</v>
      </c>
      <c r="B28" s="145">
        <f>581758-544726</f>
        <v>37032</v>
      </c>
      <c r="C28" s="145">
        <f>1167910-1033894</f>
        <v>134016</v>
      </c>
      <c r="D28" s="144">
        <f>+D26*31.2%</f>
        <v>527434.05514799559</v>
      </c>
      <c r="E28" s="144">
        <f t="shared" ref="E28:F28" si="1">+E26*31.2%</f>
        <v>667490.77135260066</v>
      </c>
      <c r="F28" s="144">
        <f t="shared" si="1"/>
        <v>855099.22353960015</v>
      </c>
    </row>
    <row r="29" spans="1:9" x14ac:dyDescent="0.25">
      <c r="A29" s="150"/>
      <c r="B29" s="145"/>
      <c r="C29" s="145"/>
      <c r="D29" s="144"/>
      <c r="E29" s="144"/>
      <c r="F29" s="162"/>
    </row>
    <row r="30" spans="1:9" x14ac:dyDescent="0.25">
      <c r="A30" s="155" t="s">
        <v>61</v>
      </c>
      <c r="B30" s="158">
        <f>+B26-B28</f>
        <v>544726</v>
      </c>
      <c r="C30" s="158">
        <f t="shared" ref="C30:F30" si="2">+C26-C28</f>
        <v>1033894.0000000028</v>
      </c>
      <c r="D30" s="163">
        <f t="shared" si="2"/>
        <v>1163059.7113519902</v>
      </c>
      <c r="E30" s="163">
        <f t="shared" si="2"/>
        <v>1471902.7265724014</v>
      </c>
      <c r="F30" s="168">
        <f t="shared" si="2"/>
        <v>1885603.4160104003</v>
      </c>
    </row>
    <row r="31" spans="1:9" x14ac:dyDescent="0.25">
      <c r="A31" s="150"/>
      <c r="B31" s="145"/>
      <c r="C31" s="145"/>
      <c r="D31" s="144"/>
      <c r="E31" s="144"/>
      <c r="F31" s="162"/>
    </row>
    <row r="32" spans="1:9" x14ac:dyDescent="0.25">
      <c r="A32" s="150" t="s">
        <v>60</v>
      </c>
      <c r="B32" s="145">
        <v>27450</v>
      </c>
      <c r="C32" s="145">
        <v>282378</v>
      </c>
      <c r="D32" s="144">
        <v>1159149</v>
      </c>
      <c r="E32" s="72">
        <v>1438135.59</v>
      </c>
      <c r="F32" s="167">
        <v>1227917</v>
      </c>
    </row>
    <row r="33" spans="1:6" x14ac:dyDescent="0.25">
      <c r="A33" s="150"/>
      <c r="B33" s="145"/>
      <c r="C33" s="145"/>
      <c r="D33" s="144"/>
      <c r="E33" s="144"/>
      <c r="F33" s="162"/>
    </row>
    <row r="34" spans="1:6" x14ac:dyDescent="0.25">
      <c r="A34" s="155" t="s">
        <v>10</v>
      </c>
      <c r="B34" s="158">
        <f>+B30+B32</f>
        <v>572176</v>
      </c>
      <c r="C34" s="158">
        <f t="shared" ref="C34:F34" si="3">+C30+C32</f>
        <v>1316272.0000000028</v>
      </c>
      <c r="D34" s="163">
        <f t="shared" si="3"/>
        <v>2322208.7113519902</v>
      </c>
      <c r="E34" s="163">
        <f t="shared" si="3"/>
        <v>2910038.3165724017</v>
      </c>
      <c r="F34" s="168">
        <f t="shared" si="3"/>
        <v>3113520.4160104003</v>
      </c>
    </row>
    <row r="35" spans="1:6" x14ac:dyDescent="0.25">
      <c r="A35" s="150"/>
      <c r="B35" s="145"/>
      <c r="C35" s="145"/>
      <c r="D35" s="144"/>
      <c r="E35" s="144"/>
      <c r="F35" s="162"/>
    </row>
    <row r="36" spans="1:6" s="165" customFormat="1" x14ac:dyDescent="0.25">
      <c r="A36" s="164" t="s">
        <v>47</v>
      </c>
      <c r="B36" s="145">
        <v>0</v>
      </c>
      <c r="C36" s="145">
        <v>0</v>
      </c>
      <c r="D36" s="144">
        <f>109800*2</f>
        <v>219600</v>
      </c>
      <c r="E36" s="144">
        <f>109800*12</f>
        <v>1317600</v>
      </c>
      <c r="F36" s="162">
        <f>109800*12</f>
        <v>1317600</v>
      </c>
    </row>
    <row r="37" spans="1:6" x14ac:dyDescent="0.25">
      <c r="A37" s="150"/>
      <c r="B37" s="145"/>
      <c r="C37" s="145"/>
      <c r="D37" s="166"/>
      <c r="E37" s="166"/>
      <c r="F37" s="162"/>
    </row>
    <row r="38" spans="1:6" x14ac:dyDescent="0.25">
      <c r="A38" s="170" t="s">
        <v>71</v>
      </c>
      <c r="B38" s="149">
        <f>+B34-B36</f>
        <v>572176</v>
      </c>
      <c r="C38" s="149">
        <f t="shared" ref="C38:F38" si="4">+C34-C36</f>
        <v>1316272.0000000028</v>
      </c>
      <c r="D38" s="149">
        <f t="shared" si="4"/>
        <v>2102608.7113519902</v>
      </c>
      <c r="E38" s="149">
        <f t="shared" si="4"/>
        <v>1592438.3165724017</v>
      </c>
      <c r="F38" s="148">
        <f t="shared" si="4"/>
        <v>1795920.4160104003</v>
      </c>
    </row>
    <row r="43" spans="1:6" x14ac:dyDescent="0.25">
      <c r="C43" s="165"/>
    </row>
    <row r="44" spans="1:6" x14ac:dyDescent="0.25">
      <c r="C44" s="165"/>
      <c r="D44" s="165"/>
      <c r="E44" s="165"/>
    </row>
  </sheetData>
  <mergeCells count="3">
    <mergeCell ref="A4:A5"/>
    <mergeCell ref="B4:F4"/>
    <mergeCell ref="A1:F1"/>
  </mergeCells>
  <phoneticPr fontId="0" type="noConversion"/>
  <pageMargins left="0.25" right="0.23" top="0.89" bottom="0.57999999999999996" header="0.26" footer="0.5"/>
  <pageSetup scale="75" orientation="portrait" horizontalDpi="4294967293" verticalDpi="14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45"/>
  <sheetViews>
    <sheetView view="pageBreakPreview" topLeftCell="A13" zoomScale="91" zoomScaleNormal="100" zoomScaleSheetLayoutView="91" workbookViewId="0">
      <selection activeCell="D7" sqref="D7"/>
    </sheetView>
  </sheetViews>
  <sheetFormatPr defaultRowHeight="14.25" x14ac:dyDescent="0.2"/>
  <cols>
    <col min="1" max="1" width="1.7109375" style="73" customWidth="1"/>
    <col min="2" max="2" width="34.5703125" style="73" customWidth="1"/>
    <col min="3" max="3" width="14" style="73" customWidth="1"/>
    <col min="4" max="4" width="15.85546875" style="73" customWidth="1"/>
    <col min="5" max="7" width="16.140625" style="73" customWidth="1"/>
    <col min="8" max="8" width="15.85546875" style="73" customWidth="1"/>
    <col min="9" max="16384" width="9.140625" style="73"/>
  </cols>
  <sheetData>
    <row r="1" spans="2:8" ht="23.25" x14ac:dyDescent="0.35">
      <c r="B1" s="224" t="str">
        <f>+Cost!A1</f>
        <v>M/s ABC</v>
      </c>
      <c r="C1" s="224"/>
      <c r="D1" s="224"/>
      <c r="E1" s="224"/>
      <c r="F1" s="224"/>
      <c r="G1" s="224"/>
      <c r="H1" s="224"/>
    </row>
    <row r="2" spans="2:8" ht="15" x14ac:dyDescent="0.25">
      <c r="D2" s="79"/>
    </row>
    <row r="3" spans="2:8" ht="15" x14ac:dyDescent="0.25">
      <c r="B3" s="78" t="s">
        <v>167</v>
      </c>
    </row>
    <row r="6" spans="2:8" ht="15.75" x14ac:dyDescent="0.25">
      <c r="B6" s="223" t="s">
        <v>138</v>
      </c>
      <c r="C6" s="223"/>
      <c r="D6" s="223"/>
      <c r="E6" s="223"/>
      <c r="F6" s="223"/>
      <c r="G6" s="223"/>
      <c r="H6" s="223"/>
    </row>
    <row r="9" spans="2:8" ht="18" x14ac:dyDescent="0.2">
      <c r="B9" s="96" t="s">
        <v>137</v>
      </c>
      <c r="C9" s="97"/>
      <c r="D9" s="71">
        <v>2022</v>
      </c>
      <c r="E9" s="44">
        <v>2023</v>
      </c>
      <c r="F9" s="46">
        <v>2024</v>
      </c>
      <c r="G9" s="46">
        <v>2025</v>
      </c>
      <c r="H9" s="46">
        <v>2026</v>
      </c>
    </row>
    <row r="10" spans="2:8" ht="15" x14ac:dyDescent="0.25">
      <c r="B10" s="89" t="s">
        <v>107</v>
      </c>
      <c r="C10" s="80"/>
      <c r="D10" s="90"/>
      <c r="E10" s="82"/>
      <c r="F10" s="90"/>
      <c r="G10" s="90"/>
      <c r="H10" s="90"/>
    </row>
    <row r="11" spans="2:8" ht="15" x14ac:dyDescent="0.25">
      <c r="B11" s="89" t="s">
        <v>108</v>
      </c>
      <c r="C11" s="80"/>
      <c r="D11" s="86">
        <f>+profit!B30</f>
        <v>544726</v>
      </c>
      <c r="E11" s="98">
        <f>+profit!C30</f>
        <v>1033894.0000000028</v>
      </c>
      <c r="F11" s="86">
        <f>+profit!D30</f>
        <v>1163059.7113519902</v>
      </c>
      <c r="G11" s="86">
        <f>+profit!E30</f>
        <v>1471902.7265724014</v>
      </c>
      <c r="H11" s="86">
        <f>+profit!F30</f>
        <v>1885603.4160104003</v>
      </c>
    </row>
    <row r="12" spans="2:8" x14ac:dyDescent="0.2">
      <c r="B12" s="82" t="s">
        <v>2</v>
      </c>
      <c r="C12" s="80" t="s">
        <v>109</v>
      </c>
      <c r="D12" s="86">
        <f>+profit!B32</f>
        <v>27450</v>
      </c>
      <c r="E12" s="98">
        <f>+profit!C32</f>
        <v>282378</v>
      </c>
      <c r="F12" s="86">
        <f>+profit!D32</f>
        <v>1159149</v>
      </c>
      <c r="G12" s="86">
        <f>+profit!E32</f>
        <v>1438135.59</v>
      </c>
      <c r="H12" s="86">
        <f>+profit!F32</f>
        <v>1227917</v>
      </c>
    </row>
    <row r="13" spans="2:8" x14ac:dyDescent="0.2">
      <c r="B13" s="82" t="s">
        <v>110</v>
      </c>
      <c r="C13" s="80" t="s">
        <v>109</v>
      </c>
      <c r="D13" s="86">
        <v>0</v>
      </c>
      <c r="E13" s="98">
        <f>+'Balance sheet '!C35-'Balance sheet '!D35</f>
        <v>-8154422.9600000009</v>
      </c>
      <c r="F13" s="86">
        <f>+'Balance sheet '!D35-'Balance sheet '!E35</f>
        <v>-1092017.0399999991</v>
      </c>
      <c r="G13" s="86">
        <f>+'Balance sheet '!E35-'Balance sheet '!F35</f>
        <v>-567103</v>
      </c>
      <c r="H13" s="86">
        <f>+'Balance sheet '!F35-'Balance sheet '!G35</f>
        <v>-567103</v>
      </c>
    </row>
    <row r="14" spans="2:8" x14ac:dyDescent="0.2">
      <c r="B14" s="82" t="s">
        <v>111</v>
      </c>
      <c r="C14" s="80" t="s">
        <v>109</v>
      </c>
      <c r="D14" s="86">
        <f>+profit!B21</f>
        <v>101530</v>
      </c>
      <c r="E14" s="98">
        <f>+profit!C21</f>
        <v>267258.06000000006</v>
      </c>
      <c r="F14" s="86">
        <f>+profit!D21</f>
        <v>284775</v>
      </c>
      <c r="G14" s="86">
        <f>+profit!E21</f>
        <v>527215</v>
      </c>
      <c r="H14" s="86">
        <f>+profit!F21</f>
        <v>478728</v>
      </c>
    </row>
    <row r="15" spans="2:8" x14ac:dyDescent="0.2">
      <c r="B15" s="82" t="s">
        <v>112</v>
      </c>
      <c r="C15" s="80" t="s">
        <v>113</v>
      </c>
      <c r="D15" s="86">
        <f>300000-721393</f>
        <v>-421393</v>
      </c>
      <c r="E15" s="98">
        <f>+'Balance sheet '!C49-'Balance sheet '!D49</f>
        <v>-4914175.4800000004</v>
      </c>
      <c r="F15" s="86">
        <f>+'Balance sheet '!D49-'Balance sheet '!E49</f>
        <v>-7879661.5199999996</v>
      </c>
      <c r="G15" s="86">
        <f>+'Balance sheet '!E49-'Balance sheet '!F49</f>
        <v>-2027284.4999999981</v>
      </c>
      <c r="H15" s="86">
        <f>+'Balance sheet '!F49-'Balance sheet '!G49</f>
        <v>-777125.72500000149</v>
      </c>
    </row>
    <row r="16" spans="2:8" x14ac:dyDescent="0.2">
      <c r="B16" s="82" t="s">
        <v>114</v>
      </c>
      <c r="C16" s="80" t="s">
        <v>113</v>
      </c>
      <c r="D16" s="86">
        <f>1222047-'Balance sheet '!C48</f>
        <v>-3274294</v>
      </c>
      <c r="E16" s="98">
        <f>+'Balance sheet '!C48-'Balance sheet '!D48</f>
        <v>-2481587.2599999998</v>
      </c>
      <c r="F16" s="86">
        <f>+'Balance sheet '!D48-'Balance sheet '!E48</f>
        <v>-5100465.0299999993</v>
      </c>
      <c r="G16" s="86">
        <f>+'Balance sheet '!E48-'Balance sheet '!F48</f>
        <v>-1799447.7100000009</v>
      </c>
      <c r="H16" s="86">
        <f>+'Balance sheet '!F48-'Balance sheet '!G48</f>
        <v>-2660620.3800000008</v>
      </c>
    </row>
    <row r="17" spans="2:8" x14ac:dyDescent="0.2">
      <c r="B17" s="82" t="s">
        <v>115</v>
      </c>
      <c r="C17" s="80" t="s">
        <v>113</v>
      </c>
      <c r="D17" s="86">
        <v>0</v>
      </c>
      <c r="E17" s="98">
        <v>0</v>
      </c>
      <c r="F17" s="86"/>
      <c r="G17" s="86"/>
      <c r="H17" s="86">
        <v>0</v>
      </c>
    </row>
    <row r="18" spans="2:8" x14ac:dyDescent="0.2">
      <c r="B18" s="82"/>
      <c r="C18" s="80"/>
      <c r="D18" s="86"/>
      <c r="E18" s="98"/>
      <c r="F18" s="86"/>
      <c r="G18" s="86"/>
      <c r="H18" s="86"/>
    </row>
    <row r="19" spans="2:8" ht="15" x14ac:dyDescent="0.25">
      <c r="B19" s="85" t="s">
        <v>116</v>
      </c>
      <c r="C19" s="99" t="s">
        <v>117</v>
      </c>
      <c r="D19" s="87">
        <f>(D11+D12+D13+D14-D15-D16-D17)</f>
        <v>4369393</v>
      </c>
      <c r="E19" s="100">
        <f t="shared" ref="E19:H19" si="0">(E11+E12+E13+E14-E15-E16-E17)</f>
        <v>824869.84000000171</v>
      </c>
      <c r="F19" s="87">
        <f t="shared" si="0"/>
        <v>14495093.22135199</v>
      </c>
      <c r="G19" s="87">
        <f t="shared" si="0"/>
        <v>6696882.5265724007</v>
      </c>
      <c r="H19" s="87">
        <f t="shared" si="0"/>
        <v>6462891.5210104026</v>
      </c>
    </row>
    <row r="20" spans="2:8" x14ac:dyDescent="0.2">
      <c r="B20" s="82"/>
      <c r="C20" s="80"/>
      <c r="D20" s="86"/>
      <c r="E20" s="98"/>
      <c r="F20" s="86"/>
      <c r="G20" s="86"/>
      <c r="H20" s="86"/>
    </row>
    <row r="21" spans="2:8" ht="15" x14ac:dyDescent="0.25">
      <c r="B21" s="89" t="s">
        <v>118</v>
      </c>
      <c r="C21" s="80"/>
      <c r="D21" s="86"/>
      <c r="E21" s="98"/>
      <c r="F21" s="86"/>
      <c r="G21" s="86"/>
      <c r="H21" s="86"/>
    </row>
    <row r="22" spans="2:8" x14ac:dyDescent="0.2">
      <c r="B22" s="82" t="s">
        <v>119</v>
      </c>
      <c r="C22" s="80" t="s">
        <v>109</v>
      </c>
      <c r="D22" s="86">
        <f>+D17</f>
        <v>0</v>
      </c>
      <c r="E22" s="98">
        <f>+E17</f>
        <v>0</v>
      </c>
      <c r="F22" s="86"/>
      <c r="G22" s="86"/>
      <c r="H22" s="86">
        <f>+H17</f>
        <v>0</v>
      </c>
    </row>
    <row r="23" spans="2:8" x14ac:dyDescent="0.2">
      <c r="B23" s="82" t="s">
        <v>120</v>
      </c>
      <c r="C23" s="80" t="s">
        <v>113</v>
      </c>
      <c r="D23" s="86">
        <f>696796-'Balance sheet '!C42</f>
        <v>-44694</v>
      </c>
      <c r="E23" s="98">
        <f>+'Balance sheet '!C42-'Balance sheet '!D42</f>
        <v>-3581750.7199999997</v>
      </c>
      <c r="F23" s="86">
        <f>+'Balance sheet '!D42-'Balance sheet '!E42</f>
        <v>-8153525.0000000009</v>
      </c>
      <c r="G23" s="86">
        <f>+'Balance sheet '!E42-'Balance sheet '!F42</f>
        <v>1438135.5899999999</v>
      </c>
      <c r="H23" s="86">
        <f>+'Balance sheet '!F42-'Balance sheet '!G42</f>
        <v>1228517.17</v>
      </c>
    </row>
    <row r="24" spans="2:8" x14ac:dyDescent="0.2">
      <c r="B24" s="82" t="s">
        <v>121</v>
      </c>
      <c r="C24" s="80" t="s">
        <v>113</v>
      </c>
      <c r="D24" s="86">
        <v>0</v>
      </c>
      <c r="E24" s="98">
        <v>0</v>
      </c>
      <c r="F24" s="86"/>
      <c r="G24" s="86"/>
      <c r="H24" s="86">
        <v>0</v>
      </c>
    </row>
    <row r="25" spans="2:8" x14ac:dyDescent="0.2">
      <c r="B25" s="82"/>
      <c r="C25" s="80"/>
      <c r="D25" s="86"/>
      <c r="E25" s="98"/>
      <c r="F25" s="86"/>
      <c r="G25" s="86"/>
      <c r="H25" s="86"/>
    </row>
    <row r="26" spans="2:8" ht="15" x14ac:dyDescent="0.25">
      <c r="B26" s="85" t="s">
        <v>122</v>
      </c>
      <c r="C26" s="99" t="s">
        <v>117</v>
      </c>
      <c r="D26" s="87">
        <f>(-D23-D24+D22)</f>
        <v>44694</v>
      </c>
      <c r="E26" s="100">
        <f t="shared" ref="E26:H26" si="1">(-E23-E24+E22)</f>
        <v>3581750.7199999997</v>
      </c>
      <c r="F26" s="87">
        <f t="shared" si="1"/>
        <v>8153525.0000000009</v>
      </c>
      <c r="G26" s="87">
        <f t="shared" si="1"/>
        <v>-1438135.5899999999</v>
      </c>
      <c r="H26" s="87">
        <f t="shared" si="1"/>
        <v>-1228517.17</v>
      </c>
    </row>
    <row r="27" spans="2:8" x14ac:dyDescent="0.2">
      <c r="B27" s="82"/>
      <c r="C27" s="80"/>
      <c r="D27" s="86"/>
      <c r="E27" s="98"/>
      <c r="F27" s="86"/>
      <c r="G27" s="86"/>
      <c r="H27" s="86"/>
    </row>
    <row r="28" spans="2:8" ht="15" x14ac:dyDescent="0.25">
      <c r="B28" s="89" t="s">
        <v>123</v>
      </c>
      <c r="C28" s="95"/>
      <c r="D28" s="86"/>
      <c r="E28" s="98"/>
      <c r="F28" s="86"/>
      <c r="G28" s="86"/>
      <c r="H28" s="86"/>
    </row>
    <row r="29" spans="2:8" x14ac:dyDescent="0.2">
      <c r="B29" s="82" t="s">
        <v>124</v>
      </c>
      <c r="C29" s="80" t="s">
        <v>109</v>
      </c>
      <c r="D29" s="86">
        <f>1736039-'Balance sheet '!C32</f>
        <v>418216</v>
      </c>
      <c r="E29" s="98">
        <f>+'Balance sheet '!C30+'Balance sheet '!C31+'Balance sheet '!C32-'Balance sheet '!D30-'Balance sheet '!D31-'Balance sheet '!D32</f>
        <v>-4459217.32</v>
      </c>
      <c r="F29" s="86">
        <f>+'Balance sheet '!D30+'Balance sheet '!D31+'Balance sheet '!D32-'Balance sheet '!E30-'Balance sheet '!E31-'Balance sheet '!E32</f>
        <v>-7206439.6799999997</v>
      </c>
      <c r="G29" s="86">
        <f>+'Balance sheet '!E30+'Balance sheet '!E31+'Balance sheet '!E32-'Balance sheet '!F30-'Balance sheet '!F31-'Balance sheet '!F32</f>
        <v>2226026</v>
      </c>
      <c r="H29" s="86">
        <f>+'Balance sheet '!F30+'Balance sheet '!F31+'Balance sheet '!F32-'Balance sheet '!G30-'Balance sheet '!G31-'Balance sheet '!G32</f>
        <v>3000002</v>
      </c>
    </row>
    <row r="30" spans="2:8" x14ac:dyDescent="0.2">
      <c r="B30" s="82" t="s">
        <v>125</v>
      </c>
      <c r="C30" s="80" t="s">
        <v>109</v>
      </c>
      <c r="D30" s="86">
        <f>11369-'Balance sheet '!C36</f>
        <v>-191605</v>
      </c>
      <c r="E30" s="98">
        <f>+'Balance sheet '!C36-'Balance sheet '!D36</f>
        <v>176022</v>
      </c>
      <c r="F30" s="86">
        <f>+'Balance sheet '!D36-'Balance sheet '!E36</f>
        <v>-555958</v>
      </c>
      <c r="G30" s="86">
        <f>+'Balance sheet '!E36-'Balance sheet '!F36</f>
        <v>-29146</v>
      </c>
      <c r="H30" s="86">
        <f>+'Balance sheet '!F36-'Balance sheet '!G36</f>
        <v>-61206</v>
      </c>
    </row>
    <row r="31" spans="2:8" x14ac:dyDescent="0.2">
      <c r="B31" s="82" t="s">
        <v>126</v>
      </c>
      <c r="C31" s="80" t="s">
        <v>113</v>
      </c>
      <c r="D31" s="86">
        <f>-'Balance sheet '!C47</f>
        <v>0</v>
      </c>
      <c r="E31" s="98">
        <f>+'Balance sheet '!C47-'Balance sheet '!D47</f>
        <v>-1271828.96</v>
      </c>
      <c r="F31" s="86">
        <f>+'Balance sheet '!D47-'Balance sheet '!E47</f>
        <v>829729</v>
      </c>
      <c r="G31" s="86">
        <f>+'Balance sheet '!E47-'Balance sheet '!F47</f>
        <v>-22105.039999999979</v>
      </c>
      <c r="H31" s="86">
        <f>+'Balance sheet '!F47-'Balance sheet '!G47</f>
        <v>464205</v>
      </c>
    </row>
    <row r="32" spans="2:8" x14ac:dyDescent="0.2">
      <c r="B32" s="82" t="s">
        <v>127</v>
      </c>
      <c r="C32" s="80" t="s">
        <v>113</v>
      </c>
      <c r="D32" s="86">
        <f>2635827+525117+7934-'Balance sheet '!C50</f>
        <v>2012462</v>
      </c>
      <c r="E32" s="98">
        <f>+'Balance sheet '!C50-'Balance sheet '!D50</f>
        <v>-3490974.88</v>
      </c>
      <c r="F32" s="86">
        <f>+'Balance sheet '!D50-'Balance sheet '!E50</f>
        <v>2579720.09</v>
      </c>
      <c r="G32" s="86">
        <f>+'Balance sheet '!E50-'Balance sheet '!F50</f>
        <v>1015702.6800000002</v>
      </c>
      <c r="H32" s="86">
        <f>+'Balance sheet '!F50-'Balance sheet '!G50</f>
        <v>463892.87999999989</v>
      </c>
    </row>
    <row r="33" spans="2:8" x14ac:dyDescent="0.2">
      <c r="B33" s="82" t="s">
        <v>128</v>
      </c>
      <c r="C33" s="80" t="s">
        <v>113</v>
      </c>
      <c r="D33" s="86">
        <f>+profit!B21</f>
        <v>101530</v>
      </c>
      <c r="E33" s="98">
        <f>+profit!C21</f>
        <v>267258.06000000006</v>
      </c>
      <c r="F33" s="86">
        <f>+profit!D21</f>
        <v>284775</v>
      </c>
      <c r="G33" s="86">
        <f>+profit!E21</f>
        <v>527215</v>
      </c>
      <c r="H33" s="86">
        <f>+profit!F21</f>
        <v>478728</v>
      </c>
    </row>
    <row r="34" spans="2:8" x14ac:dyDescent="0.2">
      <c r="B34" s="82" t="s">
        <v>129</v>
      </c>
      <c r="C34" s="80" t="s">
        <v>113</v>
      </c>
      <c r="D34" s="86">
        <v>0</v>
      </c>
      <c r="E34" s="98">
        <v>0</v>
      </c>
      <c r="F34" s="86"/>
      <c r="G34" s="86"/>
      <c r="H34" s="86">
        <v>0</v>
      </c>
    </row>
    <row r="35" spans="2:8" x14ac:dyDescent="0.2">
      <c r="B35" s="82"/>
      <c r="C35" s="80"/>
      <c r="D35" s="86"/>
      <c r="E35" s="98"/>
      <c r="F35" s="86"/>
      <c r="G35" s="86"/>
      <c r="H35" s="86"/>
    </row>
    <row r="36" spans="2:8" ht="15" x14ac:dyDescent="0.25">
      <c r="B36" s="85" t="s">
        <v>130</v>
      </c>
      <c r="C36" s="99" t="s">
        <v>117</v>
      </c>
      <c r="D36" s="87">
        <f>(D29-D33-D31-D32+D30-D34)</f>
        <v>-1887381</v>
      </c>
      <c r="E36" s="100">
        <f t="shared" ref="E36:H36" si="2">(E29-E33-E31-E32+E30-E34)</f>
        <v>212350.45999999903</v>
      </c>
      <c r="F36" s="87">
        <f t="shared" si="2"/>
        <v>-11456621.77</v>
      </c>
      <c r="G36" s="87">
        <f t="shared" si="2"/>
        <v>676067.35999999987</v>
      </c>
      <c r="H36" s="87">
        <f t="shared" si="2"/>
        <v>1531970.12</v>
      </c>
    </row>
    <row r="37" spans="2:8" x14ac:dyDescent="0.2">
      <c r="B37" s="82"/>
      <c r="D37" s="90"/>
      <c r="E37" s="82"/>
      <c r="F37" s="90"/>
      <c r="G37" s="90"/>
      <c r="H37" s="90"/>
    </row>
    <row r="38" spans="2:8" x14ac:dyDescent="0.2">
      <c r="B38" s="82"/>
      <c r="D38" s="90"/>
      <c r="E38" s="82"/>
      <c r="F38" s="90"/>
      <c r="G38" s="90"/>
      <c r="H38" s="90"/>
    </row>
    <row r="39" spans="2:8" ht="15" x14ac:dyDescent="0.25">
      <c r="B39" s="85" t="s">
        <v>131</v>
      </c>
      <c r="C39" s="99" t="s">
        <v>132</v>
      </c>
      <c r="D39" s="87">
        <f>+D36+D26+D19</f>
        <v>2526706</v>
      </c>
      <c r="E39" s="100">
        <f t="shared" ref="E39:H39" si="3">+E36+E26+E19</f>
        <v>4618971.0200000005</v>
      </c>
      <c r="F39" s="87">
        <f t="shared" si="3"/>
        <v>11191996.451351993</v>
      </c>
      <c r="G39" s="87">
        <f t="shared" si="3"/>
        <v>5934814.2965724003</v>
      </c>
      <c r="H39" s="87">
        <f t="shared" si="3"/>
        <v>6766344.4710104028</v>
      </c>
    </row>
    <row r="40" spans="2:8" x14ac:dyDescent="0.2">
      <c r="B40" s="82"/>
      <c r="C40" s="80"/>
      <c r="D40" s="86"/>
      <c r="E40" s="98"/>
      <c r="F40" s="86"/>
      <c r="G40" s="86"/>
      <c r="H40" s="86"/>
    </row>
    <row r="41" spans="2:8" x14ac:dyDescent="0.2">
      <c r="B41" s="82"/>
      <c r="C41" s="80"/>
      <c r="D41" s="86"/>
      <c r="E41" s="98"/>
      <c r="F41" s="86"/>
      <c r="G41" s="86"/>
      <c r="H41" s="86"/>
    </row>
    <row r="42" spans="2:8" ht="15" x14ac:dyDescent="0.25">
      <c r="B42" s="85" t="s">
        <v>133</v>
      </c>
      <c r="C42" s="99" t="s">
        <v>134</v>
      </c>
      <c r="D42" s="87">
        <f>246729+172101+403985</f>
        <v>822815</v>
      </c>
      <c r="E42" s="100">
        <f>+'Balance sheet '!C51</f>
        <v>832424</v>
      </c>
      <c r="F42" s="87">
        <f>+'Balance sheet '!D51</f>
        <v>3116923.84</v>
      </c>
      <c r="G42" s="87">
        <f>+'Balance sheet '!E51</f>
        <v>1166575.8700000001</v>
      </c>
      <c r="H42" s="87">
        <f>+'Balance sheet '!F51</f>
        <v>1224905</v>
      </c>
    </row>
    <row r="43" spans="2:8" ht="15.75" thickBot="1" x14ac:dyDescent="0.3">
      <c r="B43" s="92" t="s">
        <v>135</v>
      </c>
      <c r="C43" s="101" t="s">
        <v>136</v>
      </c>
      <c r="D43" s="93">
        <f>+D39+D42</f>
        <v>3349521</v>
      </c>
      <c r="E43" s="102">
        <f>+E39+E42</f>
        <v>5451395.0200000005</v>
      </c>
      <c r="F43" s="93">
        <f t="shared" ref="F43:H43" si="4">+F39+F42</f>
        <v>14308920.291351993</v>
      </c>
      <c r="G43" s="93">
        <f t="shared" si="4"/>
        <v>7101390.1665724004</v>
      </c>
      <c r="H43" s="93">
        <f t="shared" si="4"/>
        <v>7991249.4710104028</v>
      </c>
    </row>
    <row r="44" spans="2:8" ht="15" thickTop="1" x14ac:dyDescent="0.2">
      <c r="C44" s="80"/>
      <c r="D44" s="84"/>
      <c r="E44" s="84"/>
      <c r="F44" s="84"/>
      <c r="G44" s="84"/>
      <c r="H44" s="84"/>
    </row>
    <row r="45" spans="2:8" x14ac:dyDescent="0.2">
      <c r="C45" s="80"/>
      <c r="D45" s="84"/>
      <c r="E45" s="84"/>
      <c r="F45" s="84"/>
      <c r="G45" s="84"/>
      <c r="H45" s="84"/>
    </row>
  </sheetData>
  <mergeCells count="2">
    <mergeCell ref="B6:H6"/>
    <mergeCell ref="B1:H1"/>
  </mergeCells>
  <phoneticPr fontId="0" type="noConversion"/>
  <printOptions horizontalCentered="1" verticalCentered="1"/>
  <pageMargins left="0" right="0.23" top="0.51" bottom="0.43" header="0.36" footer="0.5"/>
  <pageSetup scale="80" orientation="portrait" horizontalDpi="4294967293" verticalDpi="14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FC851-9DF5-424E-87DA-E6254417BF60}">
  <dimension ref="B1:J59"/>
  <sheetViews>
    <sheetView workbookViewId="0">
      <selection activeCell="I27" sqref="I27"/>
    </sheetView>
  </sheetViews>
  <sheetFormatPr defaultRowHeight="14.25" x14ac:dyDescent="0.2"/>
  <cols>
    <col min="1" max="1" width="1.7109375" style="73" customWidth="1"/>
    <col min="2" max="2" width="34.28515625" style="73" customWidth="1"/>
    <col min="3" max="3" width="15.85546875" style="73" customWidth="1"/>
    <col min="4" max="4" width="18.85546875" style="73" bestFit="1" customWidth="1"/>
    <col min="5" max="6" width="18.28515625" style="73" bestFit="1" customWidth="1"/>
    <col min="7" max="7" width="19" style="73" bestFit="1" customWidth="1"/>
    <col min="8" max="8" width="9.140625" style="73"/>
    <col min="9" max="9" width="11.28515625" style="73" bestFit="1" customWidth="1"/>
    <col min="10" max="16384" width="9.140625" style="73"/>
  </cols>
  <sheetData>
    <row r="1" spans="2:7" ht="15" x14ac:dyDescent="0.25">
      <c r="D1" s="78" t="str">
        <f>+Cash!B1</f>
        <v>M/s ABC</v>
      </c>
    </row>
    <row r="2" spans="2:7" ht="15" x14ac:dyDescent="0.25">
      <c r="D2" s="79"/>
    </row>
    <row r="3" spans="2:7" ht="15" x14ac:dyDescent="0.25">
      <c r="B3" s="78" t="s">
        <v>178</v>
      </c>
      <c r="C3" s="225" t="s">
        <v>170</v>
      </c>
      <c r="D3" s="225"/>
      <c r="E3" s="225"/>
    </row>
    <row r="6" spans="2:7" ht="15" x14ac:dyDescent="0.25">
      <c r="B6" s="225" t="s">
        <v>159</v>
      </c>
      <c r="C6" s="225"/>
      <c r="D6" s="225"/>
      <c r="E6" s="225"/>
      <c r="F6" s="225"/>
      <c r="G6" s="225"/>
    </row>
    <row r="7" spans="2:7" ht="15" x14ac:dyDescent="0.2">
      <c r="B7" s="83" t="s">
        <v>137</v>
      </c>
      <c r="C7" s="71">
        <v>2022</v>
      </c>
      <c r="D7" s="46">
        <v>2023</v>
      </c>
      <c r="E7" s="46">
        <v>2024</v>
      </c>
      <c r="F7" s="46">
        <v>2025</v>
      </c>
      <c r="G7" s="46">
        <v>2026</v>
      </c>
    </row>
    <row r="8" spans="2:7" ht="28.5" x14ac:dyDescent="0.2">
      <c r="B8" s="81" t="s">
        <v>139</v>
      </c>
      <c r="C8" s="76">
        <f>+profit!B26+profit!B21+profit!B32</f>
        <v>710738</v>
      </c>
      <c r="D8" s="76">
        <f>+profit!C26+profit!C21+profit!C32</f>
        <v>1717546.0600000028</v>
      </c>
      <c r="E8" s="76">
        <f>+profit!D26+profit!D21+profit!D32</f>
        <v>3134417.7664999859</v>
      </c>
      <c r="F8" s="76">
        <f>+profit!E26+profit!E21+profit!E32</f>
        <v>4104744.087925002</v>
      </c>
      <c r="G8" s="76">
        <f>+profit!F26+profit!F21+profit!F32</f>
        <v>4447347.6395500004</v>
      </c>
    </row>
    <row r="9" spans="2:7" x14ac:dyDescent="0.2">
      <c r="B9" s="82" t="s">
        <v>162</v>
      </c>
      <c r="C9" s="76">
        <f>+profit!B21</f>
        <v>101530</v>
      </c>
      <c r="D9" s="76">
        <f>+profit!C21</f>
        <v>267258.06000000006</v>
      </c>
      <c r="E9" s="76">
        <f>+profit!D21</f>
        <v>284775</v>
      </c>
      <c r="F9" s="76">
        <f>+profit!E21</f>
        <v>527215</v>
      </c>
      <c r="G9" s="76">
        <f>+profit!F21</f>
        <v>478728</v>
      </c>
    </row>
    <row r="10" spans="2:7" x14ac:dyDescent="0.2">
      <c r="B10" s="82" t="s">
        <v>2</v>
      </c>
      <c r="C10" s="76">
        <f>+profit!B32</f>
        <v>27450</v>
      </c>
      <c r="D10" s="76">
        <f>+profit!C32</f>
        <v>282378</v>
      </c>
      <c r="E10" s="76">
        <f>+profit!D32</f>
        <v>1159149</v>
      </c>
      <c r="F10" s="76">
        <f>+profit!E32</f>
        <v>1438135.59</v>
      </c>
      <c r="G10" s="76">
        <f>+profit!F32</f>
        <v>1227917</v>
      </c>
    </row>
    <row r="11" spans="2:7" ht="15.75" thickBot="1" x14ac:dyDescent="0.3">
      <c r="B11" s="92" t="s">
        <v>140</v>
      </c>
      <c r="C11" s="94">
        <f>+C8-C9-C10</f>
        <v>581758</v>
      </c>
      <c r="D11" s="94">
        <f t="shared" ref="D11:G11" si="0">+D8-D9-D10</f>
        <v>1167910.0000000028</v>
      </c>
      <c r="E11" s="94">
        <f t="shared" si="0"/>
        <v>1690493.7664999859</v>
      </c>
      <c r="F11" s="94">
        <f t="shared" si="0"/>
        <v>2139393.4979250021</v>
      </c>
      <c r="G11" s="94">
        <f t="shared" si="0"/>
        <v>2740702.6395500004</v>
      </c>
    </row>
    <row r="12" spans="2:7" ht="15" thickTop="1" x14ac:dyDescent="0.2"/>
    <row r="14" spans="2:7" ht="15" x14ac:dyDescent="0.25">
      <c r="B14" s="225" t="s">
        <v>160</v>
      </c>
      <c r="C14" s="225"/>
      <c r="D14" s="225"/>
      <c r="E14" s="225"/>
      <c r="F14" s="225"/>
      <c r="G14" s="225"/>
    </row>
    <row r="15" spans="2:7" ht="15" x14ac:dyDescent="0.2">
      <c r="B15" s="83" t="s">
        <v>137</v>
      </c>
      <c r="C15" s="71">
        <v>2022</v>
      </c>
      <c r="D15" s="46">
        <v>2023</v>
      </c>
      <c r="E15" s="46">
        <v>2024</v>
      </c>
      <c r="F15" s="46">
        <v>2025</v>
      </c>
      <c r="G15" s="46">
        <v>2026</v>
      </c>
    </row>
    <row r="16" spans="2:7" x14ac:dyDescent="0.2">
      <c r="B16" s="82" t="s">
        <v>141</v>
      </c>
      <c r="C16" s="86">
        <v>3001469</v>
      </c>
      <c r="D16" s="86">
        <f>+C20</f>
        <v>4331645</v>
      </c>
      <c r="E16" s="86">
        <f t="shared" ref="E16:G16" si="1">+D20</f>
        <v>5300718.6500000032</v>
      </c>
      <c r="F16" s="86">
        <f t="shared" si="1"/>
        <v>11480889.416499989</v>
      </c>
      <c r="G16" s="86">
        <f t="shared" si="1"/>
        <v>14707759.28442499</v>
      </c>
    </row>
    <row r="17" spans="2:8" x14ac:dyDescent="0.2">
      <c r="B17" s="82" t="s">
        <v>140</v>
      </c>
      <c r="C17" s="86">
        <f>+C11</f>
        <v>581758</v>
      </c>
      <c r="D17" s="86">
        <f t="shared" ref="D17:G17" si="2">+D11</f>
        <v>1167910.0000000028</v>
      </c>
      <c r="E17" s="86">
        <f t="shared" si="2"/>
        <v>1690493.7664999859</v>
      </c>
      <c r="F17" s="86">
        <f t="shared" si="2"/>
        <v>2139393.4979250021</v>
      </c>
      <c r="G17" s="86">
        <f t="shared" si="2"/>
        <v>2740702.6395500004</v>
      </c>
    </row>
    <row r="18" spans="2:8" x14ac:dyDescent="0.2">
      <c r="B18" s="82" t="s">
        <v>142</v>
      </c>
      <c r="C18" s="86">
        <v>324786</v>
      </c>
      <c r="D18" s="86">
        <f>313936.35+1</f>
        <v>313937.34999999998</v>
      </c>
      <c r="E18" s="86">
        <v>0</v>
      </c>
      <c r="F18" s="86">
        <f>112522.63+1</f>
        <v>112523.63</v>
      </c>
      <c r="G18" s="86">
        <v>1471058.24</v>
      </c>
    </row>
    <row r="19" spans="2:8" x14ac:dyDescent="0.2">
      <c r="B19" s="82" t="s">
        <v>163</v>
      </c>
      <c r="C19" s="86">
        <f>1073203+1</f>
        <v>1073204</v>
      </c>
      <c r="D19" s="86">
        <v>115101</v>
      </c>
      <c r="E19" s="86">
        <f>4489676+1</f>
        <v>4489677</v>
      </c>
      <c r="F19" s="86">
        <v>1200000</v>
      </c>
      <c r="G19" s="86">
        <f>1200000+1</f>
        <v>1200001</v>
      </c>
    </row>
    <row r="20" spans="2:8" ht="15.75" thickBot="1" x14ac:dyDescent="0.3">
      <c r="B20" s="92" t="s">
        <v>143</v>
      </c>
      <c r="C20" s="93">
        <f>C16+C17-C18+C19</f>
        <v>4331645</v>
      </c>
      <c r="D20" s="93">
        <f t="shared" ref="D20:G20" si="3">D16+D17-D18+D19</f>
        <v>5300718.6500000032</v>
      </c>
      <c r="E20" s="93">
        <f t="shared" si="3"/>
        <v>11480889.416499989</v>
      </c>
      <c r="F20" s="93">
        <f t="shared" si="3"/>
        <v>14707759.28442499</v>
      </c>
      <c r="G20" s="93">
        <f t="shared" si="3"/>
        <v>17177404.683974989</v>
      </c>
    </row>
    <row r="21" spans="2:8" ht="15" thickTop="1" x14ac:dyDescent="0.2">
      <c r="C21" s="77"/>
      <c r="D21" s="77"/>
      <c r="E21" s="77"/>
      <c r="F21" s="77"/>
      <c r="G21" s="77"/>
    </row>
    <row r="24" spans="2:8" ht="15" x14ac:dyDescent="0.25">
      <c r="B24" s="225" t="s">
        <v>161</v>
      </c>
      <c r="C24" s="225"/>
      <c r="D24" s="225"/>
      <c r="E24" s="225"/>
      <c r="F24" s="225"/>
      <c r="G24" s="225"/>
    </row>
    <row r="25" spans="2:8" ht="15" x14ac:dyDescent="0.2">
      <c r="B25" s="83" t="s">
        <v>137</v>
      </c>
      <c r="C25" s="71">
        <v>2022</v>
      </c>
      <c r="D25" s="46">
        <v>2023</v>
      </c>
      <c r="E25" s="46">
        <v>2024</v>
      </c>
      <c r="F25" s="46">
        <v>2025</v>
      </c>
      <c r="G25" s="46">
        <v>2026</v>
      </c>
    </row>
    <row r="26" spans="2:8" ht="15" x14ac:dyDescent="0.25">
      <c r="B26" s="89" t="s">
        <v>144</v>
      </c>
      <c r="C26" s="90"/>
      <c r="D26" s="90"/>
      <c r="E26" s="90"/>
      <c r="F26" s="90"/>
      <c r="G26" s="90"/>
    </row>
    <row r="27" spans="2:8" x14ac:dyDescent="0.2">
      <c r="B27" s="82" t="s">
        <v>145</v>
      </c>
      <c r="C27" s="86">
        <f>+C20</f>
        <v>4331645</v>
      </c>
      <c r="D27" s="86">
        <f t="shared" ref="D27:G27" si="4">+D20</f>
        <v>5300718.6500000032</v>
      </c>
      <c r="E27" s="86">
        <f t="shared" si="4"/>
        <v>11480889.416499989</v>
      </c>
      <c r="F27" s="193">
        <f t="shared" si="4"/>
        <v>14707759.28442499</v>
      </c>
      <c r="G27" s="193">
        <f t="shared" si="4"/>
        <v>17177404.683974989</v>
      </c>
      <c r="H27" s="77"/>
    </row>
    <row r="28" spans="2:8" x14ac:dyDescent="0.2">
      <c r="B28" s="82"/>
      <c r="C28" s="86"/>
      <c r="D28" s="86"/>
      <c r="E28" s="86"/>
      <c r="F28" s="193"/>
      <c r="G28" s="193"/>
    </row>
    <row r="29" spans="2:8" ht="15" x14ac:dyDescent="0.25">
      <c r="B29" s="89" t="s">
        <v>146</v>
      </c>
      <c r="C29" s="86"/>
      <c r="D29" s="86"/>
      <c r="E29" s="86"/>
      <c r="F29" s="193"/>
      <c r="G29" s="193"/>
    </row>
    <row r="30" spans="2:8" x14ac:dyDescent="0.2">
      <c r="B30" s="82" t="s">
        <v>147</v>
      </c>
      <c r="C30" s="72">
        <v>0</v>
      </c>
      <c r="D30" s="72">
        <v>0</v>
      </c>
      <c r="E30" s="72">
        <f>9528027</f>
        <v>9528027</v>
      </c>
      <c r="F30" s="194">
        <f>4674628+3454600</f>
        <v>8129228</v>
      </c>
      <c r="G30" s="194">
        <v>6129226</v>
      </c>
      <c r="H30" s="77"/>
    </row>
    <row r="31" spans="2:8" x14ac:dyDescent="0.2">
      <c r="B31" s="82" t="s">
        <v>148</v>
      </c>
      <c r="C31" s="72">
        <v>0</v>
      </c>
      <c r="D31" s="72">
        <v>176970</v>
      </c>
      <c r="E31" s="72">
        <v>0</v>
      </c>
      <c r="F31" s="194">
        <v>0</v>
      </c>
      <c r="G31" s="194">
        <v>0</v>
      </c>
      <c r="H31" s="77"/>
    </row>
    <row r="32" spans="2:8" x14ac:dyDescent="0.2">
      <c r="B32" s="82" t="s">
        <v>164</v>
      </c>
      <c r="C32" s="91">
        <v>1317823</v>
      </c>
      <c r="D32" s="91">
        <f>324070.32+5276000</f>
        <v>5600070.3200000003</v>
      </c>
      <c r="E32" s="91">
        <v>3455453</v>
      </c>
      <c r="F32" s="195">
        <f>3628226-1000000</f>
        <v>2628226</v>
      </c>
      <c r="G32" s="197">
        <v>1628226</v>
      </c>
      <c r="H32" s="77"/>
    </row>
    <row r="33" spans="2:9" x14ac:dyDescent="0.2">
      <c r="B33" s="82"/>
      <c r="C33" s="86"/>
      <c r="D33" s="86"/>
      <c r="E33" s="86"/>
      <c r="F33" s="193"/>
      <c r="G33" s="193"/>
    </row>
    <row r="34" spans="2:9" ht="15" x14ac:dyDescent="0.25">
      <c r="B34" s="89" t="s">
        <v>149</v>
      </c>
      <c r="C34" s="86"/>
      <c r="D34" s="86"/>
      <c r="E34" s="86"/>
      <c r="F34" s="193"/>
      <c r="G34" s="193"/>
    </row>
    <row r="35" spans="2:9" x14ac:dyDescent="0.2">
      <c r="B35" s="82" t="s">
        <v>150</v>
      </c>
      <c r="C35" s="91">
        <v>2095622</v>
      </c>
      <c r="D35" s="91">
        <v>10250044.960000001</v>
      </c>
      <c r="E35" s="91">
        <v>11342062</v>
      </c>
      <c r="F35" s="195">
        <v>11909165</v>
      </c>
      <c r="G35" s="195">
        <v>12476268</v>
      </c>
      <c r="H35" s="77"/>
    </row>
    <row r="36" spans="2:9" x14ac:dyDescent="0.2">
      <c r="B36" s="82" t="s">
        <v>151</v>
      </c>
      <c r="C36" s="91">
        <v>202974</v>
      </c>
      <c r="D36" s="91">
        <v>26952</v>
      </c>
      <c r="E36" s="91">
        <v>582910</v>
      </c>
      <c r="F36" s="195">
        <v>612056</v>
      </c>
      <c r="G36" s="195">
        <v>673262</v>
      </c>
      <c r="H36" s="77"/>
    </row>
    <row r="37" spans="2:9" x14ac:dyDescent="0.2">
      <c r="B37" s="82" t="s">
        <v>171</v>
      </c>
      <c r="C37" s="91"/>
      <c r="D37" s="91">
        <v>4618125.43</v>
      </c>
      <c r="E37" s="91">
        <f>5253448+1+103945</f>
        <v>5357394</v>
      </c>
      <c r="F37" s="195">
        <f>5096120-0.63+8367+109143</f>
        <v>5213629.37</v>
      </c>
      <c r="G37" s="195">
        <f>5872672-15877+114341</f>
        <v>5971136</v>
      </c>
      <c r="H37" s="77"/>
      <c r="I37" s="187"/>
    </row>
    <row r="38" spans="2:9" x14ac:dyDescent="0.2">
      <c r="B38" s="82"/>
      <c r="C38" s="86"/>
      <c r="D38" s="86"/>
      <c r="E38" s="86"/>
      <c r="F38" s="193"/>
      <c r="G38" s="193"/>
    </row>
    <row r="39" spans="2:9" ht="15.75" thickBot="1" x14ac:dyDescent="0.3">
      <c r="B39" s="92" t="s">
        <v>168</v>
      </c>
      <c r="C39" s="93">
        <f t="shared" ref="C39:F39" si="5">SUM(C27:C37)</f>
        <v>7948064</v>
      </c>
      <c r="D39" s="93">
        <f t="shared" si="5"/>
        <v>25972881.360000003</v>
      </c>
      <c r="E39" s="93">
        <f t="shared" si="5"/>
        <v>41746735.416499987</v>
      </c>
      <c r="F39" s="196">
        <f t="shared" si="5"/>
        <v>43200063.654424988</v>
      </c>
      <c r="G39" s="196">
        <f>SUM(G27:G37)</f>
        <v>44055522.683974989</v>
      </c>
      <c r="I39" s="187"/>
    </row>
    <row r="40" spans="2:9" ht="15" thickTop="1" x14ac:dyDescent="0.2">
      <c r="B40" s="82"/>
      <c r="C40" s="86"/>
      <c r="D40" s="86"/>
      <c r="E40" s="86"/>
      <c r="F40" s="193"/>
      <c r="G40" s="193"/>
    </row>
    <row r="41" spans="2:9" ht="15" x14ac:dyDescent="0.25">
      <c r="B41" s="89" t="s">
        <v>152</v>
      </c>
      <c r="C41" s="86"/>
      <c r="D41" s="86"/>
      <c r="E41" s="86"/>
      <c r="F41" s="193"/>
      <c r="G41" s="193"/>
    </row>
    <row r="42" spans="2:9" x14ac:dyDescent="0.2">
      <c r="B42" s="82" t="s">
        <v>165</v>
      </c>
      <c r="C42" s="72">
        <v>741490</v>
      </c>
      <c r="D42" s="72">
        <v>4323240.72</v>
      </c>
      <c r="E42" s="72">
        <v>12476765.720000001</v>
      </c>
      <c r="F42" s="194">
        <v>11038630.130000001</v>
      </c>
      <c r="G42" s="194">
        <v>9810112.9600000009</v>
      </c>
    </row>
    <row r="43" spans="2:9" x14ac:dyDescent="0.2">
      <c r="B43" s="82"/>
      <c r="C43" s="86"/>
      <c r="D43" s="86"/>
      <c r="E43" s="86"/>
      <c r="F43" s="193"/>
      <c r="G43" s="193"/>
    </row>
    <row r="44" spans="2:9" x14ac:dyDescent="0.2">
      <c r="B44" s="82" t="s">
        <v>153</v>
      </c>
      <c r="C44" s="86"/>
      <c r="D44" s="86"/>
      <c r="E44" s="86"/>
      <c r="F44" s="193"/>
      <c r="G44" s="193"/>
      <c r="H44" s="77"/>
    </row>
    <row r="45" spans="2:9" x14ac:dyDescent="0.2">
      <c r="B45" s="82"/>
      <c r="C45" s="86"/>
      <c r="D45" s="86"/>
      <c r="E45" s="86"/>
      <c r="F45" s="193"/>
      <c r="G45" s="193"/>
    </row>
    <row r="46" spans="2:9" ht="15" x14ac:dyDescent="0.25">
      <c r="B46" s="89" t="s">
        <v>79</v>
      </c>
      <c r="C46" s="86"/>
      <c r="D46" s="86"/>
      <c r="E46" s="86"/>
      <c r="F46" s="193"/>
      <c r="G46" s="193"/>
    </row>
    <row r="47" spans="2:9" x14ac:dyDescent="0.2">
      <c r="B47" s="82" t="s">
        <v>154</v>
      </c>
      <c r="C47" s="91">
        <v>0</v>
      </c>
      <c r="D47" s="91">
        <v>1271828.96</v>
      </c>
      <c r="E47" s="91">
        <v>442099.96</v>
      </c>
      <c r="F47" s="195">
        <v>464205</v>
      </c>
      <c r="G47" s="195">
        <v>0</v>
      </c>
      <c r="H47" s="77"/>
    </row>
    <row r="48" spans="2:9" x14ac:dyDescent="0.2">
      <c r="B48" s="82" t="s">
        <v>155</v>
      </c>
      <c r="C48" s="91">
        <v>4496341</v>
      </c>
      <c r="D48" s="91">
        <v>6977928.2599999998</v>
      </c>
      <c r="E48" s="91">
        <v>12078393.289999999</v>
      </c>
      <c r="F48" s="195">
        <v>13877841</v>
      </c>
      <c r="G48" s="195">
        <v>16538461.380000001</v>
      </c>
      <c r="H48" s="77"/>
    </row>
    <row r="49" spans="2:10" x14ac:dyDescent="0.2">
      <c r="B49" s="82" t="s">
        <v>156</v>
      </c>
      <c r="C49" s="91">
        <v>721393</v>
      </c>
      <c r="D49" s="91">
        <v>5635568.4800000004</v>
      </c>
      <c r="E49" s="91">
        <f>+profit!D8</f>
        <v>13515230</v>
      </c>
      <c r="F49" s="195">
        <f>+profit!E8</f>
        <v>15542514.499999998</v>
      </c>
      <c r="G49" s="195">
        <f>+profit!F8</f>
        <v>16319640.225</v>
      </c>
      <c r="H49" s="77"/>
    </row>
    <row r="50" spans="2:10" x14ac:dyDescent="0.2">
      <c r="B50" s="82" t="s">
        <v>157</v>
      </c>
      <c r="C50" s="91">
        <f>525117+619241+12057+1</f>
        <v>1156416</v>
      </c>
      <c r="D50" s="91">
        <f>2684743.12+50000+1525117+10562.76+48821+328147</f>
        <v>4647390.88</v>
      </c>
      <c r="E50" s="91">
        <f>408611.79+50000+1525117+437+6200+77304+1</f>
        <v>2067670.79</v>
      </c>
      <c r="F50" s="195">
        <f>221010+52500+1601373+469+1785+166465.11-1+8367-1000000</f>
        <v>1051968.1099999999</v>
      </c>
      <c r="G50" s="195">
        <f>231535+55000+1677629+1210443+1870+637841.23+1-15878-3210366</f>
        <v>588075.23</v>
      </c>
      <c r="J50" s="187"/>
    </row>
    <row r="51" spans="2:10" x14ac:dyDescent="0.2">
      <c r="B51" s="82" t="s">
        <v>158</v>
      </c>
      <c r="C51" s="91">
        <f>463201+369222+1</f>
        <v>832424</v>
      </c>
      <c r="D51" s="91">
        <f>784147.23+220189.76+2112586.85</f>
        <v>3116923.84</v>
      </c>
      <c r="E51" s="91">
        <f>501014+665561.87</f>
        <v>1166575.8700000001</v>
      </c>
      <c r="F51" s="195">
        <f>526065+698840</f>
        <v>1224905</v>
      </c>
      <c r="G51" s="195">
        <f>732118+67115</f>
        <v>799233</v>
      </c>
    </row>
    <row r="52" spans="2:10" x14ac:dyDescent="0.2">
      <c r="B52" s="82"/>
      <c r="C52" s="86"/>
      <c r="D52" s="86"/>
      <c r="E52" s="86"/>
      <c r="F52" s="193"/>
      <c r="G52" s="193"/>
    </row>
    <row r="53" spans="2:10" ht="15.75" thickBot="1" x14ac:dyDescent="0.3">
      <c r="B53" s="92" t="s">
        <v>169</v>
      </c>
      <c r="C53" s="93">
        <f>SUM(C42:C51)</f>
        <v>7948064</v>
      </c>
      <c r="D53" s="93">
        <f>SUM(D42:D51)</f>
        <v>25972881.140000001</v>
      </c>
      <c r="E53" s="93">
        <f>SUM(E42:E51)</f>
        <v>41746735.629999995</v>
      </c>
      <c r="F53" s="93">
        <f>SUM(F42:F51)</f>
        <v>43200063.740000002</v>
      </c>
      <c r="G53" s="93">
        <f>SUM(G42:G51)</f>
        <v>44055522.795000002</v>
      </c>
    </row>
    <row r="54" spans="2:10" ht="21" thickTop="1" x14ac:dyDescent="0.3">
      <c r="B54" s="75"/>
      <c r="C54" s="88">
        <f>+C39-C53</f>
        <v>0</v>
      </c>
      <c r="D54" s="88">
        <f t="shared" ref="D54:G54" si="6">+D39-D53</f>
        <v>0.2200000025331974</v>
      </c>
      <c r="E54" s="88">
        <f t="shared" si="6"/>
        <v>-0.2135000079870224</v>
      </c>
      <c r="F54" s="88">
        <f t="shared" si="6"/>
        <v>-8.5575014352798462E-2</v>
      </c>
      <c r="G54" s="88">
        <f t="shared" si="6"/>
        <v>-0.11102501302957535</v>
      </c>
    </row>
    <row r="56" spans="2:10" ht="23.25" x14ac:dyDescent="0.35">
      <c r="B56" s="74"/>
      <c r="E56" s="75"/>
    </row>
    <row r="57" spans="2:10" ht="23.25" x14ac:dyDescent="0.35">
      <c r="B57" s="74"/>
      <c r="E57" s="75"/>
    </row>
    <row r="58" spans="2:10" ht="23.25" x14ac:dyDescent="0.35">
      <c r="B58" s="74"/>
      <c r="E58" s="75"/>
    </row>
    <row r="59" spans="2:10" ht="20.25" x14ac:dyDescent="0.3">
      <c r="E59" s="75"/>
    </row>
  </sheetData>
  <mergeCells count="4">
    <mergeCell ref="B6:G6"/>
    <mergeCell ref="B14:G14"/>
    <mergeCell ref="B24:G24"/>
    <mergeCell ref="C3:E3"/>
  </mergeCells>
  <pageMargins left="0.32" right="0.17" top="0.48" bottom="0.19" header="0.63" footer="0.14000000000000001"/>
  <pageSetup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7"/>
  <sheetViews>
    <sheetView view="pageBreakPreview" zoomScaleNormal="100" zoomScaleSheetLayoutView="100" workbookViewId="0">
      <selection activeCell="D29" sqref="D29"/>
    </sheetView>
  </sheetViews>
  <sheetFormatPr defaultColWidth="9.140625" defaultRowHeight="15" x14ac:dyDescent="0.25"/>
  <cols>
    <col min="1" max="1" width="29.7109375" style="2" customWidth="1"/>
    <col min="2" max="2" width="15" style="2" bestFit="1" customWidth="1"/>
    <col min="3" max="3" width="15.85546875" style="2" customWidth="1"/>
    <col min="4" max="4" width="17" style="2" customWidth="1"/>
    <col min="5" max="5" width="17.85546875" style="2" customWidth="1"/>
    <col min="6" max="6" width="16.28515625" style="2" customWidth="1"/>
    <col min="7" max="16384" width="9.140625" style="2"/>
  </cols>
  <sheetData>
    <row r="1" spans="1:6" x14ac:dyDescent="0.25">
      <c r="A1" s="205" t="str">
        <f>+'Balance sheet '!D1</f>
        <v>M/s ABC</v>
      </c>
      <c r="B1" s="205"/>
      <c r="C1" s="205"/>
      <c r="D1" s="205"/>
      <c r="E1" s="205"/>
      <c r="F1" s="205"/>
    </row>
    <row r="2" spans="1:6" x14ac:dyDescent="0.25">
      <c r="A2" s="1" t="s">
        <v>179</v>
      </c>
    </row>
    <row r="4" spans="1:6" x14ac:dyDescent="0.25">
      <c r="A4" s="1" t="s">
        <v>34</v>
      </c>
    </row>
    <row r="5" spans="1:6" x14ac:dyDescent="0.25">
      <c r="A5" s="201"/>
      <c r="B5" s="226" t="s">
        <v>81</v>
      </c>
      <c r="C5" s="226"/>
      <c r="D5" s="226"/>
      <c r="E5" s="226"/>
      <c r="F5" s="226"/>
    </row>
    <row r="6" spans="1:6" x14ac:dyDescent="0.25">
      <c r="A6" s="206"/>
      <c r="B6" s="71">
        <v>2022</v>
      </c>
      <c r="C6" s="46">
        <v>2023</v>
      </c>
      <c r="D6" s="46">
        <v>2024</v>
      </c>
      <c r="E6" s="46">
        <v>2025</v>
      </c>
      <c r="F6" s="46">
        <v>2026</v>
      </c>
    </row>
    <row r="7" spans="1:6" x14ac:dyDescent="0.25">
      <c r="A7" s="15" t="s">
        <v>80</v>
      </c>
      <c r="B7" s="32">
        <f>+profit!B10</f>
        <v>48426314</v>
      </c>
      <c r="C7" s="32">
        <f>+profit!C10</f>
        <v>83145685</v>
      </c>
      <c r="D7" s="32">
        <f>+profit!D10</f>
        <v>106499279.59999999</v>
      </c>
      <c r="E7" s="32">
        <f>+profit!E10</f>
        <v>127123374.02</v>
      </c>
      <c r="F7" s="27">
        <f>+profit!F10</f>
        <v>150216671.64899999</v>
      </c>
    </row>
    <row r="8" spans="1:6" x14ac:dyDescent="0.25">
      <c r="A8" s="15"/>
      <c r="B8" s="34"/>
      <c r="D8" s="34"/>
      <c r="E8" s="25"/>
      <c r="F8" s="34"/>
    </row>
    <row r="9" spans="1:6" x14ac:dyDescent="0.25">
      <c r="A9" s="15" t="s">
        <v>84</v>
      </c>
      <c r="B9" s="38">
        <f>+profit!B17</f>
        <v>42350892</v>
      </c>
      <c r="C9" s="38">
        <f>+profit!C17</f>
        <v>77631424.799999997</v>
      </c>
      <c r="D9" s="38">
        <f>+profit!D17</f>
        <v>98062042.051500008</v>
      </c>
      <c r="E9" s="38">
        <f>+profit!E17</f>
        <v>114747309.93207499</v>
      </c>
      <c r="F9" s="38">
        <f>+profit!F17</f>
        <v>132305140.00944999</v>
      </c>
    </row>
    <row r="10" spans="1:6" x14ac:dyDescent="0.25">
      <c r="A10" s="15"/>
      <c r="B10" s="103"/>
      <c r="C10" s="103"/>
      <c r="D10" s="103"/>
      <c r="E10" s="103"/>
      <c r="F10" s="169"/>
    </row>
    <row r="11" spans="1:6" x14ac:dyDescent="0.25">
      <c r="A11" s="15"/>
      <c r="B11" s="34"/>
      <c r="D11" s="34"/>
      <c r="E11" s="25"/>
      <c r="F11" s="34"/>
    </row>
    <row r="12" spans="1:6" x14ac:dyDescent="0.25">
      <c r="A12" s="15" t="s">
        <v>172</v>
      </c>
      <c r="B12" s="34"/>
      <c r="D12" s="34"/>
      <c r="E12" s="25"/>
      <c r="F12" s="34"/>
    </row>
    <row r="13" spans="1:6" x14ac:dyDescent="0.25">
      <c r="A13" s="15" t="s">
        <v>6</v>
      </c>
      <c r="B13" s="35">
        <f>+profit!B32</f>
        <v>27450</v>
      </c>
      <c r="C13" s="35">
        <f>+profit!C32</f>
        <v>282378</v>
      </c>
      <c r="D13" s="35">
        <f>+profit!D32</f>
        <v>1159149</v>
      </c>
      <c r="E13" s="35">
        <f>+profit!E32</f>
        <v>1438135.59</v>
      </c>
      <c r="F13" s="10">
        <f>+profit!F32</f>
        <v>1227917</v>
      </c>
    </row>
    <row r="14" spans="1:6" x14ac:dyDescent="0.25">
      <c r="A14" s="15" t="s">
        <v>69</v>
      </c>
      <c r="B14" s="39">
        <f>+profit!B21</f>
        <v>101530</v>
      </c>
      <c r="C14" s="39">
        <f>+profit!C21</f>
        <v>267258.06000000006</v>
      </c>
      <c r="D14" s="39">
        <f>+profit!D21</f>
        <v>284775</v>
      </c>
      <c r="E14" s="39">
        <f>+profit!E21</f>
        <v>527215</v>
      </c>
      <c r="F14" s="39">
        <f>+profit!F21</f>
        <v>478728</v>
      </c>
    </row>
    <row r="15" spans="1:6" x14ac:dyDescent="0.25">
      <c r="A15" s="15" t="s">
        <v>70</v>
      </c>
      <c r="B15" s="39">
        <f>+profit!B24</f>
        <v>5392134</v>
      </c>
      <c r="C15" s="39">
        <f>+profit!C24</f>
        <v>4079092.14</v>
      </c>
      <c r="D15" s="39">
        <f>+profit!D24</f>
        <v>6461968.7820000006</v>
      </c>
      <c r="E15" s="39">
        <f>+profit!E24</f>
        <v>9709455.5899999999</v>
      </c>
      <c r="F15" s="39">
        <f>+profit!F24</f>
        <v>14692101</v>
      </c>
    </row>
    <row r="16" spans="1:6" x14ac:dyDescent="0.25">
      <c r="A16" s="15"/>
      <c r="B16" s="38">
        <f>+B13+B14+B15</f>
        <v>5521114</v>
      </c>
      <c r="C16" s="38">
        <f t="shared" ref="C16:F16" si="0">+C13+C14+C15</f>
        <v>4628728.2</v>
      </c>
      <c r="D16" s="38">
        <f t="shared" si="0"/>
        <v>7905892.7820000006</v>
      </c>
      <c r="E16" s="38">
        <f t="shared" si="0"/>
        <v>11674806.18</v>
      </c>
      <c r="F16" s="38">
        <f t="shared" si="0"/>
        <v>16398746</v>
      </c>
    </row>
    <row r="17" spans="1:6" x14ac:dyDescent="0.25">
      <c r="A17" s="15"/>
      <c r="B17" s="34"/>
      <c r="D17" s="34"/>
      <c r="E17" s="25"/>
      <c r="F17" s="34"/>
    </row>
    <row r="18" spans="1:6" x14ac:dyDescent="0.25">
      <c r="A18" s="15" t="s">
        <v>173</v>
      </c>
      <c r="B18" s="39">
        <f>+B7-B9</f>
        <v>6075422</v>
      </c>
      <c r="C18" s="39">
        <f t="shared" ref="C18:F18" si="1">+C7-C9</f>
        <v>5514260.200000003</v>
      </c>
      <c r="D18" s="39">
        <f t="shared" si="1"/>
        <v>8437237.5484999865</v>
      </c>
      <c r="E18" s="39">
        <f t="shared" si="1"/>
        <v>12376064.087925002</v>
      </c>
      <c r="F18" s="39">
        <f t="shared" si="1"/>
        <v>17911531.63955</v>
      </c>
    </row>
    <row r="19" spans="1:6" x14ac:dyDescent="0.25">
      <c r="A19" s="15"/>
      <c r="B19" s="39"/>
      <c r="C19" s="39"/>
      <c r="D19" s="39"/>
      <c r="E19" s="39"/>
      <c r="F19" s="39"/>
    </row>
    <row r="20" spans="1:6" x14ac:dyDescent="0.25">
      <c r="A20" s="15" t="s">
        <v>176</v>
      </c>
      <c r="B20" s="39">
        <f>+B18/B9*100</f>
        <v>14.345440469116918</v>
      </c>
      <c r="C20" s="39">
        <f t="shared" ref="C20:F20" si="2">+C18/C9*100</f>
        <v>7.1031289380637563</v>
      </c>
      <c r="D20" s="39">
        <f t="shared" si="2"/>
        <v>8.6039790442758033</v>
      </c>
      <c r="E20" s="39">
        <f t="shared" si="2"/>
        <v>10.785493878027335</v>
      </c>
      <c r="F20" s="39">
        <f t="shared" si="2"/>
        <v>13.538046698919374</v>
      </c>
    </row>
    <row r="21" spans="1:6" x14ac:dyDescent="0.25">
      <c r="A21" s="15"/>
      <c r="B21" s="39"/>
      <c r="C21" s="39"/>
      <c r="D21" s="39"/>
      <c r="E21" s="39"/>
      <c r="F21" s="39"/>
    </row>
    <row r="22" spans="1:6" x14ac:dyDescent="0.25">
      <c r="A22" s="15" t="s">
        <v>174</v>
      </c>
      <c r="B22" s="34">
        <f>+B16/B20*100</f>
        <v>38486890.743340634</v>
      </c>
      <c r="C22" s="34">
        <f t="shared" ref="C22:F22" si="3">+C16/C20*100</f>
        <v>65164637.167092539</v>
      </c>
      <c r="D22" s="34">
        <f t="shared" si="3"/>
        <v>91886471.84420751</v>
      </c>
      <c r="E22" s="34">
        <f t="shared" si="3"/>
        <v>108245448.11790593</v>
      </c>
      <c r="F22" s="34">
        <f t="shared" si="3"/>
        <v>121130812.7730788</v>
      </c>
    </row>
    <row r="23" spans="1:6" x14ac:dyDescent="0.25">
      <c r="A23" s="15" t="s">
        <v>177</v>
      </c>
      <c r="B23" s="39"/>
      <c r="C23" s="39"/>
      <c r="D23" s="39"/>
      <c r="E23" s="39"/>
      <c r="F23" s="39"/>
    </row>
    <row r="24" spans="1:6" x14ac:dyDescent="0.25">
      <c r="A24" s="15"/>
      <c r="B24" s="39"/>
      <c r="C24" s="39"/>
      <c r="D24" s="39"/>
      <c r="E24" s="39"/>
      <c r="F24" s="39"/>
    </row>
    <row r="25" spans="1:6" x14ac:dyDescent="0.25">
      <c r="A25" s="15" t="s">
        <v>175</v>
      </c>
      <c r="B25" s="39">
        <f>+B22-B13</f>
        <v>38459440.743340634</v>
      </c>
      <c r="C25" s="39">
        <f t="shared" ref="C25:F25" si="4">+C22-C13</f>
        <v>64882259.167092539</v>
      </c>
      <c r="D25" s="39">
        <f t="shared" si="4"/>
        <v>90727322.84420751</v>
      </c>
      <c r="E25" s="39">
        <f t="shared" si="4"/>
        <v>106807312.52790593</v>
      </c>
      <c r="F25" s="39">
        <f t="shared" si="4"/>
        <v>119902895.7730788</v>
      </c>
    </row>
    <row r="26" spans="1:6" x14ac:dyDescent="0.25">
      <c r="A26" s="15" t="s">
        <v>57</v>
      </c>
      <c r="B26" s="39"/>
      <c r="C26" s="40"/>
      <c r="D26" s="39"/>
      <c r="E26" s="41"/>
      <c r="F26" s="39"/>
    </row>
    <row r="27" spans="1:6" x14ac:dyDescent="0.25">
      <c r="A27" s="18"/>
      <c r="B27" s="30"/>
      <c r="C27" s="23"/>
      <c r="D27" s="30"/>
      <c r="E27" s="24"/>
      <c r="F27" s="30"/>
    </row>
  </sheetData>
  <mergeCells count="3">
    <mergeCell ref="A5:A6"/>
    <mergeCell ref="B5:F5"/>
    <mergeCell ref="A1:F1"/>
  </mergeCells>
  <phoneticPr fontId="0" type="noConversion"/>
  <printOptions horizontalCentered="1"/>
  <pageMargins left="0.27" right="0.57999999999999996" top="1" bottom="1" header="0.5" footer="0.5"/>
  <pageSetup scale="85" orientation="portrait" horizontalDpi="4294967293" verticalDpi="14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4"/>
  <sheetViews>
    <sheetView view="pageBreakPreview" zoomScaleNormal="100" zoomScaleSheetLayoutView="100" workbookViewId="0">
      <selection activeCell="E26" sqref="E26"/>
    </sheetView>
  </sheetViews>
  <sheetFormatPr defaultColWidth="12.5703125" defaultRowHeight="15" x14ac:dyDescent="0.25"/>
  <cols>
    <col min="1" max="1" width="31.5703125" style="2" customWidth="1"/>
    <col min="2" max="6" width="14.7109375" style="2" bestFit="1" customWidth="1"/>
    <col min="7" max="16384" width="12.5703125" style="2"/>
  </cols>
  <sheetData>
    <row r="1" spans="1:6" x14ac:dyDescent="0.25">
      <c r="A1" s="205" t="str">
        <f>+BEP!A1</f>
        <v>M/s ABC</v>
      </c>
      <c r="B1" s="205"/>
      <c r="C1" s="205"/>
      <c r="D1" s="205"/>
      <c r="E1" s="205"/>
      <c r="F1" s="205"/>
    </row>
    <row r="2" spans="1:6" x14ac:dyDescent="0.25">
      <c r="A2" s="1" t="s">
        <v>183</v>
      </c>
    </row>
    <row r="4" spans="1:6" x14ac:dyDescent="0.25">
      <c r="A4" s="1" t="s">
        <v>52</v>
      </c>
    </row>
    <row r="5" spans="1:6" x14ac:dyDescent="0.25">
      <c r="A5" s="201"/>
      <c r="B5" s="227" t="s">
        <v>76</v>
      </c>
      <c r="C5" s="228"/>
      <c r="D5" s="228"/>
      <c r="E5" s="228"/>
      <c r="F5" s="229"/>
    </row>
    <row r="6" spans="1:6" x14ac:dyDescent="0.25">
      <c r="A6" s="206"/>
      <c r="B6" s="71">
        <v>2022</v>
      </c>
      <c r="C6" s="46">
        <v>2023</v>
      </c>
      <c r="D6" s="46">
        <v>2024</v>
      </c>
      <c r="E6" s="46">
        <v>2025</v>
      </c>
      <c r="F6" s="46">
        <v>2026</v>
      </c>
    </row>
    <row r="7" spans="1:6" x14ac:dyDescent="0.25">
      <c r="A7" s="33" t="s">
        <v>82</v>
      </c>
      <c r="B7" s="31"/>
      <c r="C7" s="26"/>
      <c r="D7" s="19"/>
      <c r="E7" s="26"/>
      <c r="F7" s="26"/>
    </row>
    <row r="8" spans="1:6" x14ac:dyDescent="0.25">
      <c r="A8" s="34" t="s">
        <v>36</v>
      </c>
      <c r="B8" s="32">
        <f>+profit!B30</f>
        <v>544726</v>
      </c>
      <c r="C8" s="32">
        <f>+profit!C30</f>
        <v>1033894.0000000028</v>
      </c>
      <c r="D8" s="32">
        <f>+profit!D30</f>
        <v>1163059.7113519902</v>
      </c>
      <c r="E8" s="32">
        <f>+profit!E30</f>
        <v>1471902.7265724014</v>
      </c>
      <c r="F8" s="27">
        <f>+profit!F30</f>
        <v>1885603.4160104003</v>
      </c>
    </row>
    <row r="9" spans="1:6" x14ac:dyDescent="0.25">
      <c r="A9" s="34" t="s">
        <v>37</v>
      </c>
      <c r="B9" s="35">
        <f>+profit!B32</f>
        <v>27450</v>
      </c>
      <c r="C9" s="35">
        <f>+profit!C32</f>
        <v>282378</v>
      </c>
      <c r="D9" s="35">
        <f>+profit!D32</f>
        <v>1159149</v>
      </c>
      <c r="E9" s="35">
        <f>+profit!E32</f>
        <v>1438135.59</v>
      </c>
      <c r="F9" s="10">
        <f>+profit!F32</f>
        <v>1227917</v>
      </c>
    </row>
    <row r="10" spans="1:6" x14ac:dyDescent="0.25">
      <c r="A10" s="34" t="s">
        <v>38</v>
      </c>
      <c r="B10" s="32">
        <f>+profit!B21</f>
        <v>101530</v>
      </c>
      <c r="C10" s="32">
        <f>+profit!C21</f>
        <v>267258.06000000006</v>
      </c>
      <c r="D10" s="32">
        <f>+profit!D21</f>
        <v>284775</v>
      </c>
      <c r="E10" s="32">
        <f>+profit!E21</f>
        <v>527215</v>
      </c>
      <c r="F10" s="27">
        <f>+profit!F21</f>
        <v>478728</v>
      </c>
    </row>
    <row r="11" spans="1:6" x14ac:dyDescent="0.25">
      <c r="A11" s="34" t="s">
        <v>65</v>
      </c>
      <c r="B11" s="36">
        <f>SUM(B8:B10)</f>
        <v>673706</v>
      </c>
      <c r="C11" s="36">
        <f t="shared" ref="C11:F11" si="0">SUM(C8:C10)</f>
        <v>1583530.0600000028</v>
      </c>
      <c r="D11" s="36">
        <f t="shared" si="0"/>
        <v>2606983.7113519902</v>
      </c>
      <c r="E11" s="36">
        <f t="shared" si="0"/>
        <v>3437253.3165724017</v>
      </c>
      <c r="F11" s="29">
        <f t="shared" si="0"/>
        <v>3592248.4160104003</v>
      </c>
    </row>
    <row r="12" spans="1:6" x14ac:dyDescent="0.25">
      <c r="A12" s="34"/>
      <c r="B12" s="32"/>
      <c r="C12" s="32"/>
      <c r="D12" s="32"/>
      <c r="E12" s="32"/>
      <c r="F12" s="27"/>
    </row>
    <row r="13" spans="1:6" x14ac:dyDescent="0.25">
      <c r="A13" s="34" t="s">
        <v>83</v>
      </c>
      <c r="B13" s="32"/>
      <c r="C13" s="32"/>
      <c r="D13" s="32"/>
      <c r="E13" s="32"/>
      <c r="F13" s="27"/>
    </row>
    <row r="14" spans="1:6" x14ac:dyDescent="0.25">
      <c r="A14" s="34" t="s">
        <v>41</v>
      </c>
      <c r="B14" s="32">
        <f>+profit!B36</f>
        <v>0</v>
      </c>
      <c r="C14" s="32">
        <f>+profit!C36</f>
        <v>0</v>
      </c>
      <c r="D14" s="32">
        <f>+profit!D36</f>
        <v>219600</v>
      </c>
      <c r="E14" s="32">
        <f>+profit!E36</f>
        <v>1317600</v>
      </c>
      <c r="F14" s="27">
        <f>+profit!F36</f>
        <v>1317600</v>
      </c>
    </row>
    <row r="15" spans="1:6" x14ac:dyDescent="0.25">
      <c r="A15" s="34" t="s">
        <v>59</v>
      </c>
      <c r="B15" s="32">
        <f>+B10</f>
        <v>101530</v>
      </c>
      <c r="C15" s="32">
        <f t="shared" ref="C15:F15" si="1">+C10</f>
        <v>267258.06000000006</v>
      </c>
      <c r="D15" s="32">
        <f t="shared" si="1"/>
        <v>284775</v>
      </c>
      <c r="E15" s="32">
        <f t="shared" si="1"/>
        <v>527215</v>
      </c>
      <c r="F15" s="27">
        <f t="shared" si="1"/>
        <v>478728</v>
      </c>
    </row>
    <row r="16" spans="1:6" x14ac:dyDescent="0.25">
      <c r="A16" s="34" t="s">
        <v>11</v>
      </c>
      <c r="B16" s="32"/>
      <c r="C16" s="32"/>
      <c r="D16" s="32"/>
      <c r="E16" s="32"/>
      <c r="F16" s="27"/>
    </row>
    <row r="17" spans="1:6" x14ac:dyDescent="0.25">
      <c r="A17" s="34" t="s">
        <v>58</v>
      </c>
      <c r="B17" s="31">
        <f>SUM(B14:B16)</f>
        <v>101530</v>
      </c>
      <c r="C17" s="31">
        <f t="shared" ref="C17:F17" si="2">SUM(C14:C16)</f>
        <v>267258.06000000006</v>
      </c>
      <c r="D17" s="31">
        <f t="shared" si="2"/>
        <v>504375</v>
      </c>
      <c r="E17" s="31">
        <f t="shared" si="2"/>
        <v>1844815</v>
      </c>
      <c r="F17" s="26">
        <f t="shared" si="2"/>
        <v>1796328</v>
      </c>
    </row>
    <row r="18" spans="1:6" x14ac:dyDescent="0.25">
      <c r="A18" s="34"/>
      <c r="B18" s="26"/>
      <c r="C18" s="26"/>
      <c r="D18" s="26"/>
      <c r="E18" s="26"/>
      <c r="F18" s="26"/>
    </row>
    <row r="19" spans="1:6" x14ac:dyDescent="0.25">
      <c r="A19" s="34" t="s">
        <v>53</v>
      </c>
      <c r="B19" s="27"/>
      <c r="C19" s="27"/>
      <c r="D19" s="27"/>
      <c r="E19" s="27"/>
      <c r="F19" s="27"/>
    </row>
    <row r="20" spans="1:6" x14ac:dyDescent="0.25">
      <c r="A20" s="30" t="s">
        <v>62</v>
      </c>
      <c r="B20" s="37">
        <f>+B11/B17</f>
        <v>6.6355362946912244</v>
      </c>
      <c r="C20" s="37">
        <f t="shared" ref="C20:F20" si="3">+C11/C17</f>
        <v>5.9250974881730505</v>
      </c>
      <c r="D20" s="37">
        <f t="shared" si="3"/>
        <v>5.1687409394834996</v>
      </c>
      <c r="E20" s="37">
        <f t="shared" si="3"/>
        <v>1.8631967522881165</v>
      </c>
      <c r="F20" s="37">
        <f t="shared" si="3"/>
        <v>1.9997731015774403</v>
      </c>
    </row>
    <row r="21" spans="1:6" x14ac:dyDescent="0.25">
      <c r="A21" s="15"/>
      <c r="F21" s="22"/>
    </row>
    <row r="22" spans="1:6" x14ac:dyDescent="0.25">
      <c r="A22" s="15"/>
      <c r="B22" s="40"/>
      <c r="F22" s="25"/>
    </row>
    <row r="23" spans="1:6" x14ac:dyDescent="0.25">
      <c r="A23" s="15"/>
      <c r="F23" s="25"/>
    </row>
    <row r="24" spans="1:6" x14ac:dyDescent="0.25">
      <c r="A24" s="18"/>
      <c r="B24" s="23"/>
      <c r="C24" s="23"/>
      <c r="D24" s="23"/>
      <c r="E24" s="23"/>
      <c r="F24" s="24"/>
    </row>
  </sheetData>
  <mergeCells count="3">
    <mergeCell ref="A5:A6"/>
    <mergeCell ref="B5:F5"/>
    <mergeCell ref="A1:F1"/>
  </mergeCells>
  <phoneticPr fontId="0" type="noConversion"/>
  <printOptions horizontalCentered="1"/>
  <pageMargins left="0.45" right="0.74" top="1.29" bottom="0.68" header="0.47" footer="0.5"/>
  <pageSetup scale="90" orientation="portrait" horizontalDpi="4294967293" verticalDpi="14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2"/>
  <sheetViews>
    <sheetView view="pageBreakPreview" zoomScaleNormal="100" zoomScaleSheetLayoutView="100" workbookViewId="0">
      <selection activeCell="F12" sqref="F12"/>
    </sheetView>
  </sheetViews>
  <sheetFormatPr defaultColWidth="9.140625" defaultRowHeight="15" x14ac:dyDescent="0.25"/>
  <cols>
    <col min="1" max="1" width="27.42578125" style="2" customWidth="1"/>
    <col min="2" max="2" width="16.5703125" style="2" customWidth="1"/>
    <col min="3" max="3" width="16.42578125" style="2" customWidth="1"/>
    <col min="4" max="4" width="17.7109375" style="2" customWidth="1"/>
    <col min="5" max="5" width="16" style="2" customWidth="1"/>
    <col min="6" max="6" width="15.7109375" style="2" customWidth="1"/>
    <col min="7" max="16384" width="9.140625" style="2"/>
  </cols>
  <sheetData>
    <row r="1" spans="1:6" x14ac:dyDescent="0.25">
      <c r="A1" s="205" t="str">
        <f>'Annex 6DSCR'!A1</f>
        <v>M/s ABC</v>
      </c>
      <c r="B1" s="205"/>
      <c r="C1" s="205"/>
      <c r="D1" s="205"/>
      <c r="E1" s="205"/>
      <c r="F1" s="205"/>
    </row>
    <row r="2" spans="1:6" x14ac:dyDescent="0.25">
      <c r="A2" s="1" t="s">
        <v>184</v>
      </c>
    </row>
    <row r="4" spans="1:6" x14ac:dyDescent="0.25">
      <c r="A4" s="1" t="s">
        <v>35</v>
      </c>
    </row>
    <row r="6" spans="1:6" x14ac:dyDescent="0.25">
      <c r="A6" s="2" t="s">
        <v>85</v>
      </c>
      <c r="B6" s="230" t="s">
        <v>73</v>
      </c>
      <c r="C6" s="230"/>
      <c r="D6" s="230"/>
    </row>
    <row r="7" spans="1:6" x14ac:dyDescent="0.25">
      <c r="B7" s="231" t="s">
        <v>50</v>
      </c>
      <c r="C7" s="231"/>
      <c r="D7" s="231"/>
    </row>
    <row r="9" spans="1:6" x14ac:dyDescent="0.25">
      <c r="A9" s="2" t="s">
        <v>212</v>
      </c>
      <c r="B9" s="2" t="s">
        <v>51</v>
      </c>
    </row>
    <row r="11" spans="1:6" x14ac:dyDescent="0.25">
      <c r="A11" s="2" t="s">
        <v>49</v>
      </c>
      <c r="B11" s="2" t="s">
        <v>1</v>
      </c>
    </row>
    <row r="13" spans="1:6" x14ac:dyDescent="0.25">
      <c r="A13" s="1" t="s">
        <v>39</v>
      </c>
    </row>
    <row r="15" spans="1:6" x14ac:dyDescent="0.25">
      <c r="A15" s="201" t="s">
        <v>5</v>
      </c>
      <c r="B15" s="226" t="s">
        <v>72</v>
      </c>
      <c r="C15" s="226"/>
      <c r="D15" s="226"/>
      <c r="E15" s="226"/>
      <c r="F15" s="226"/>
    </row>
    <row r="16" spans="1:6" x14ac:dyDescent="0.25">
      <c r="A16" s="206"/>
      <c r="B16" s="71">
        <v>2022</v>
      </c>
      <c r="C16" s="46">
        <v>2023</v>
      </c>
      <c r="D16" s="46">
        <v>2024</v>
      </c>
      <c r="E16" s="46">
        <v>2025</v>
      </c>
      <c r="F16" s="46">
        <v>2026</v>
      </c>
    </row>
    <row r="17" spans="1:6" x14ac:dyDescent="0.25">
      <c r="A17" s="17" t="s">
        <v>3</v>
      </c>
      <c r="B17" s="26">
        <f>+profit!B26</f>
        <v>581758</v>
      </c>
      <c r="C17" s="26">
        <f>+profit!C26</f>
        <v>1167910.0000000028</v>
      </c>
      <c r="D17" s="26">
        <f>+profit!D26</f>
        <v>1690493.7664999859</v>
      </c>
      <c r="E17" s="26">
        <f>+profit!E26</f>
        <v>2139393.4979250021</v>
      </c>
      <c r="F17" s="26">
        <f>+profit!F26</f>
        <v>2740702.6395500004</v>
      </c>
    </row>
    <row r="18" spans="1:6" x14ac:dyDescent="0.25">
      <c r="A18" s="15"/>
      <c r="B18" s="27"/>
      <c r="C18" s="27"/>
      <c r="D18" s="27"/>
      <c r="E18" s="27"/>
      <c r="F18" s="27"/>
    </row>
    <row r="19" spans="1:6" x14ac:dyDescent="0.25">
      <c r="A19" s="15" t="s">
        <v>2</v>
      </c>
      <c r="B19" s="27">
        <f>+profit!B32</f>
        <v>27450</v>
      </c>
      <c r="C19" s="27">
        <f>+profit!C32</f>
        <v>282378</v>
      </c>
      <c r="D19" s="27">
        <f>+profit!D32</f>
        <v>1159149</v>
      </c>
      <c r="E19" s="27">
        <f>+profit!E32</f>
        <v>1438135.59</v>
      </c>
      <c r="F19" s="27">
        <f>+profit!F32</f>
        <v>1227917</v>
      </c>
    </row>
    <row r="20" spans="1:6" x14ac:dyDescent="0.25">
      <c r="A20" s="15"/>
      <c r="B20" s="27"/>
      <c r="C20" s="27"/>
      <c r="D20" s="27"/>
      <c r="E20" s="27"/>
      <c r="F20" s="27"/>
    </row>
    <row r="21" spans="1:6" x14ac:dyDescent="0.25">
      <c r="A21" s="15" t="s">
        <v>56</v>
      </c>
      <c r="B21" s="27">
        <f>+profit!B21</f>
        <v>101530</v>
      </c>
      <c r="C21" s="27">
        <f>+profit!C21</f>
        <v>267258.06000000006</v>
      </c>
      <c r="D21" s="27">
        <f>+profit!D21</f>
        <v>284775</v>
      </c>
      <c r="E21" s="27">
        <f>+profit!E21</f>
        <v>527215</v>
      </c>
      <c r="F21" s="27">
        <f>+profit!F21</f>
        <v>478728</v>
      </c>
    </row>
    <row r="22" spans="1:6" x14ac:dyDescent="0.25">
      <c r="A22" s="15"/>
      <c r="B22" s="27"/>
      <c r="C22" s="27"/>
      <c r="D22" s="27"/>
      <c r="E22" s="27"/>
      <c r="F22" s="27"/>
    </row>
    <row r="23" spans="1:6" x14ac:dyDescent="0.25">
      <c r="A23" s="15"/>
      <c r="B23" s="27"/>
      <c r="C23" s="20"/>
      <c r="D23" s="27"/>
      <c r="E23" s="28"/>
      <c r="F23" s="28"/>
    </row>
    <row r="24" spans="1:6" x14ac:dyDescent="0.25">
      <c r="A24" s="15"/>
      <c r="B24" s="29">
        <f>SUM(B17:B23)</f>
        <v>710738</v>
      </c>
      <c r="C24" s="29">
        <f t="shared" ref="C24:F24" si="0">SUM(C17:C23)</f>
        <v>1717546.0600000028</v>
      </c>
      <c r="D24" s="29">
        <f t="shared" si="0"/>
        <v>3134417.7664999859</v>
      </c>
      <c r="E24" s="29">
        <f t="shared" si="0"/>
        <v>4104744.087925002</v>
      </c>
      <c r="F24" s="29">
        <f t="shared" si="0"/>
        <v>4447347.6395500004</v>
      </c>
    </row>
    <row r="25" spans="1:6" ht="1.5" customHeight="1" x14ac:dyDescent="0.25">
      <c r="A25" s="18"/>
      <c r="B25" s="30"/>
      <c r="C25" s="23"/>
      <c r="D25" s="30"/>
      <c r="E25" s="23"/>
    </row>
    <row r="28" spans="1:6" x14ac:dyDescent="0.25">
      <c r="A28" s="17" t="s">
        <v>66</v>
      </c>
      <c r="B28" s="26">
        <f>+B24/3</f>
        <v>236912.66666666666</v>
      </c>
      <c r="C28" s="26">
        <f t="shared" ref="C28:F28" si="1">+C24/3</f>
        <v>572515.35333333432</v>
      </c>
      <c r="D28" s="26">
        <f t="shared" si="1"/>
        <v>1044805.9221666619</v>
      </c>
      <c r="E28" s="26">
        <f t="shared" si="1"/>
        <v>1368248.029308334</v>
      </c>
      <c r="F28" s="26">
        <f t="shared" si="1"/>
        <v>1482449.2131833334</v>
      </c>
    </row>
    <row r="29" spans="1:6" x14ac:dyDescent="0.25">
      <c r="A29" s="15"/>
      <c r="B29" s="27"/>
      <c r="C29" s="27"/>
      <c r="D29" s="34"/>
      <c r="E29" s="34"/>
      <c r="F29" s="34"/>
    </row>
    <row r="30" spans="1:6" x14ac:dyDescent="0.25">
      <c r="A30" s="15" t="s">
        <v>67</v>
      </c>
      <c r="B30" s="27">
        <v>6985600</v>
      </c>
      <c r="C30" s="27">
        <v>6985600</v>
      </c>
      <c r="D30" s="27">
        <v>6985600</v>
      </c>
      <c r="E30" s="27">
        <v>6985600</v>
      </c>
      <c r="F30" s="27">
        <v>6985600</v>
      </c>
    </row>
    <row r="31" spans="1:6" x14ac:dyDescent="0.25">
      <c r="A31" s="15"/>
      <c r="B31" s="27"/>
      <c r="C31" s="27"/>
      <c r="D31" s="34"/>
      <c r="E31" s="34"/>
      <c r="F31" s="34"/>
    </row>
    <row r="32" spans="1:6" x14ac:dyDescent="0.25">
      <c r="A32" s="18" t="s">
        <v>74</v>
      </c>
      <c r="B32" s="37">
        <f>+B28/B30*100</f>
        <v>3.3914433501297907</v>
      </c>
      <c r="C32" s="37">
        <f t="shared" ref="C32:F32" si="2">+C28/C30*100</f>
        <v>8.1956503855550604</v>
      </c>
      <c r="D32" s="37">
        <f t="shared" si="2"/>
        <v>14.956566682413278</v>
      </c>
      <c r="E32" s="37">
        <f t="shared" si="2"/>
        <v>19.586693044381786</v>
      </c>
      <c r="F32" s="37">
        <f t="shared" si="2"/>
        <v>21.221501562977174</v>
      </c>
    </row>
  </sheetData>
  <mergeCells count="5">
    <mergeCell ref="B6:D6"/>
    <mergeCell ref="B7:D7"/>
    <mergeCell ref="A15:A16"/>
    <mergeCell ref="B15:F15"/>
    <mergeCell ref="A1:F1"/>
  </mergeCells>
  <phoneticPr fontId="0" type="noConversion"/>
  <printOptions horizontalCentered="1"/>
  <pageMargins left="0.35" right="0.19" top="1" bottom="1" header="0.5" footer="0.5"/>
  <pageSetup scale="90" orientation="portrait" horizontalDpi="4294967293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Index</vt:lpstr>
      <vt:lpstr>PROJECT AT GLANCE</vt:lpstr>
      <vt:lpstr>Cost</vt:lpstr>
      <vt:lpstr>profit</vt:lpstr>
      <vt:lpstr>Cash</vt:lpstr>
      <vt:lpstr>Balance sheet </vt:lpstr>
      <vt:lpstr>BEP</vt:lpstr>
      <vt:lpstr>Annex 6DSCR</vt:lpstr>
      <vt:lpstr>Annex 7 ROI</vt:lpstr>
      <vt:lpstr>Interest schedule</vt:lpstr>
      <vt:lpstr>Producation Statement </vt:lpstr>
      <vt:lpstr>Dep </vt:lpstr>
      <vt:lpstr>Cash!Print_Area</vt:lpstr>
      <vt:lpstr>Cost!Print_Area</vt:lpstr>
      <vt:lpstr>profit!Print_Area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Subramanya</dc:creator>
  <cp:lastModifiedBy>Tax Sarthi</cp:lastModifiedBy>
  <cp:lastPrinted>2024-01-26T14:16:42Z</cp:lastPrinted>
  <dcterms:created xsi:type="dcterms:W3CDTF">2001-03-09T05:50:55Z</dcterms:created>
  <dcterms:modified xsi:type="dcterms:W3CDTF">2024-01-27T04:07:55Z</dcterms:modified>
</cp:coreProperties>
</file>