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outube Post\fy 2023-24\Jan 2024\cash flow statement\"/>
    </mc:Choice>
  </mc:AlternateContent>
  <xr:revisionPtr revIDLastSave="0" documentId="13_ncr:1_{44F304A4-090E-4BDC-A3F4-B2F2B99F417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ofit" sheetId="9" r:id="rId1"/>
    <sheet name="Cash" sheetId="8" r:id="rId2"/>
    <sheet name="Balance sheet " sheetId="32" r:id="rId3"/>
  </sheets>
  <definedNames>
    <definedName name="_xlnm.Print_Area" localSheetId="1">Cash!$A$1:$H$45</definedName>
    <definedName name="_xlnm.Print_Area" localSheetId="0">profit!$A$1:$F$38</definedName>
  </definedNames>
  <calcPr calcId="181029"/>
</workbook>
</file>

<file path=xl/calcChain.xml><?xml version="1.0" encoding="utf-8"?>
<calcChain xmlns="http://schemas.openxmlformats.org/spreadsheetml/2006/main">
  <c r="A1" i="8" l="1"/>
  <c r="G50" i="32"/>
  <c r="F39" i="32"/>
  <c r="E39" i="32"/>
  <c r="D39" i="32"/>
  <c r="C39" i="32"/>
  <c r="G39" i="32"/>
  <c r="F37" i="32"/>
  <c r="F50" i="32"/>
  <c r="E50" i="32"/>
  <c r="E30" i="32"/>
  <c r="D50" i="32"/>
  <c r="C50" i="32"/>
  <c r="D32" i="8" s="1"/>
  <c r="D18" i="32"/>
  <c r="D31" i="8"/>
  <c r="D30" i="8"/>
  <c r="D29" i="8"/>
  <c r="D23" i="8"/>
  <c r="D16" i="8"/>
  <c r="D15" i="8"/>
  <c r="D42" i="8"/>
  <c r="H33" i="8" l="1"/>
  <c r="G33" i="8"/>
  <c r="F33" i="8"/>
  <c r="E33" i="8"/>
  <c r="D33" i="8"/>
  <c r="H31" i="8"/>
  <c r="G31" i="8"/>
  <c r="F31" i="8"/>
  <c r="E31" i="8"/>
  <c r="H30" i="8"/>
  <c r="G30" i="8"/>
  <c r="F30" i="8"/>
  <c r="E30" i="8"/>
  <c r="H23" i="8"/>
  <c r="G23" i="8"/>
  <c r="G26" i="8" s="1"/>
  <c r="F23" i="8"/>
  <c r="F26" i="8" s="1"/>
  <c r="E23" i="8"/>
  <c r="H16" i="8"/>
  <c r="G16" i="8"/>
  <c r="F16" i="8"/>
  <c r="E16" i="8"/>
  <c r="H15" i="8"/>
  <c r="G15" i="8"/>
  <c r="F15" i="8"/>
  <c r="E15" i="8"/>
  <c r="H14" i="8"/>
  <c r="G14" i="8"/>
  <c r="F14" i="8"/>
  <c r="E14" i="8"/>
  <c r="D14" i="8"/>
  <c r="H13" i="8"/>
  <c r="G13" i="8"/>
  <c r="F13" i="8"/>
  <c r="E13" i="8"/>
  <c r="G51" i="32"/>
  <c r="F51" i="32"/>
  <c r="H42" i="8" s="1"/>
  <c r="E51" i="32"/>
  <c r="G42" i="8" s="1"/>
  <c r="D51" i="32"/>
  <c r="F42" i="8" s="1"/>
  <c r="C51" i="32"/>
  <c r="E42" i="8" s="1"/>
  <c r="E32" i="8"/>
  <c r="D32" i="32"/>
  <c r="E29" i="8" s="1"/>
  <c r="G30" i="32"/>
  <c r="F30" i="32"/>
  <c r="H32" i="8" l="1"/>
  <c r="F29" i="8"/>
  <c r="H29" i="8"/>
  <c r="G32" i="8"/>
  <c r="E36" i="8"/>
  <c r="G29" i="8"/>
  <c r="F32" i="8"/>
  <c r="G36" i="8" l="1"/>
  <c r="H36" i="8"/>
  <c r="F36" i="8"/>
  <c r="F24" i="9" l="1"/>
  <c r="E24" i="9"/>
  <c r="D24" i="9"/>
  <c r="D26" i="9" s="1"/>
  <c r="D17" i="32"/>
  <c r="C20" i="32"/>
  <c r="C27" i="32" s="1"/>
  <c r="C53" i="32" s="1"/>
  <c r="G10" i="32"/>
  <c r="F10" i="32"/>
  <c r="E10" i="32"/>
  <c r="D10" i="32"/>
  <c r="C10" i="32"/>
  <c r="G9" i="32"/>
  <c r="F9" i="32"/>
  <c r="E9" i="32"/>
  <c r="D9" i="32"/>
  <c r="C9" i="32"/>
  <c r="D8" i="32"/>
  <c r="C8" i="32"/>
  <c r="H12" i="8"/>
  <c r="G12" i="8"/>
  <c r="F12" i="8"/>
  <c r="E12" i="8"/>
  <c r="D12" i="8"/>
  <c r="E11" i="8"/>
  <c r="E19" i="8" s="1"/>
  <c r="D11" i="8"/>
  <c r="D19" i="8" s="1"/>
  <c r="H22" i="8"/>
  <c r="H26" i="8" s="1"/>
  <c r="E22" i="8"/>
  <c r="E26" i="8" s="1"/>
  <c r="D22" i="8"/>
  <c r="D26" i="8" s="1"/>
  <c r="E39" i="8" l="1"/>
  <c r="E43" i="8" s="1"/>
  <c r="C11" i="32"/>
  <c r="D11" i="32"/>
  <c r="E8" i="32"/>
  <c r="E11" i="32" s="1"/>
  <c r="E17" i="32"/>
  <c r="D16" i="32"/>
  <c r="D20" i="32" s="1"/>
  <c r="D27" i="32" s="1"/>
  <c r="D36" i="8"/>
  <c r="D53" i="32" l="1"/>
  <c r="D39" i="8"/>
  <c r="D43" i="8" s="1"/>
  <c r="E16" i="32"/>
  <c r="E20" i="32" s="1"/>
  <c r="E27" i="32" s="1"/>
  <c r="E53" i="32" l="1"/>
  <c r="F16" i="32"/>
  <c r="F28" i="9" l="1"/>
  <c r="E28" i="9"/>
  <c r="D28" i="9"/>
  <c r="D15" i="9" l="1"/>
  <c r="C24" i="9"/>
  <c r="C21" i="9"/>
  <c r="C28" i="9"/>
  <c r="C16" i="9"/>
  <c r="C13" i="9"/>
  <c r="F15" i="9"/>
  <c r="E15" i="9"/>
  <c r="C15" i="9"/>
  <c r="B28" i="9"/>
  <c r="B24" i="9"/>
  <c r="B17" i="9"/>
  <c r="B10" i="9" l="1"/>
  <c r="D10" i="9"/>
  <c r="C10" i="9"/>
  <c r="D1" i="32"/>
  <c r="F10" i="9" l="1"/>
  <c r="E10" i="9"/>
  <c r="B19" i="9" l="1"/>
  <c r="B26" i="9" s="1"/>
  <c r="B30" i="9" l="1"/>
  <c r="B34" i="9" l="1"/>
  <c r="B38" i="9" s="1"/>
  <c r="C17" i="9" l="1"/>
  <c r="C19" i="9" s="1"/>
  <c r="C26" i="9" s="1"/>
  <c r="D17" i="9"/>
  <c r="D19" i="9" s="1"/>
  <c r="D30" i="9" l="1"/>
  <c r="F11" i="8" s="1"/>
  <c r="F19" i="8" s="1"/>
  <c r="F39" i="8" s="1"/>
  <c r="F43" i="8" s="1"/>
  <c r="C30" i="9"/>
  <c r="E17" i="9"/>
  <c r="E19" i="9" s="1"/>
  <c r="E26" i="9" s="1"/>
  <c r="F8" i="32" l="1"/>
  <c r="F11" i="32" s="1"/>
  <c r="F17" i="32"/>
  <c r="C34" i="9"/>
  <c r="C38" i="9" s="1"/>
  <c r="E30" i="9"/>
  <c r="G11" i="8" s="1"/>
  <c r="G19" i="8" s="1"/>
  <c r="G39" i="8" s="1"/>
  <c r="G43" i="8" s="1"/>
  <c r="D34" i="9"/>
  <c r="D38" i="9" s="1"/>
  <c r="F20" i="32" l="1"/>
  <c r="F27" i="32" s="1"/>
  <c r="E34" i="9"/>
  <c r="E38" i="9" s="1"/>
  <c r="F17" i="9"/>
  <c r="F19" i="9" s="1"/>
  <c r="F26" i="9" s="1"/>
  <c r="F53" i="32" l="1"/>
  <c r="G16" i="32"/>
  <c r="G17" i="32"/>
  <c r="G8" i="32"/>
  <c r="G11" i="32" s="1"/>
  <c r="F30" i="9"/>
  <c r="H11" i="8" s="1"/>
  <c r="H19" i="8" s="1"/>
  <c r="H39" i="8" s="1"/>
  <c r="H43" i="8" s="1"/>
  <c r="G20" i="32" l="1"/>
  <c r="G27" i="32" s="1"/>
  <c r="F34" i="9"/>
  <c r="F38" i="9" s="1"/>
  <c r="G53" i="32" l="1"/>
</calcChain>
</file>

<file path=xl/sharedStrings.xml><?xml version="1.0" encoding="utf-8"?>
<sst xmlns="http://schemas.openxmlformats.org/spreadsheetml/2006/main" count="115" uniqueCount="95">
  <si>
    <t>Depreciation</t>
  </si>
  <si>
    <t>PROJECTIONS AND PROFITABILITY STATEMENT</t>
  </si>
  <si>
    <t>PARTICULARS</t>
  </si>
  <si>
    <t>C.  Gross Profit [ A - B ]</t>
  </si>
  <si>
    <t>F.  Profit before Tax[ C - (D+E) ]</t>
  </si>
  <si>
    <t>G.  Income Tax</t>
  </si>
  <si>
    <t>J.   Cash Accruals ( H + I )</t>
  </si>
  <si>
    <t>D.  Interest: on term loan</t>
  </si>
  <si>
    <t>STATEMENT NO.2</t>
  </si>
  <si>
    <t>L. Repayment of Term Loan</t>
  </si>
  <si>
    <t>I.   Depreciation added back</t>
  </si>
  <si>
    <t>H. Profit after Tax (  F-G )</t>
  </si>
  <si>
    <t>M.  Net Cash A'ble   (J - K))</t>
  </si>
  <si>
    <t>Operating years</t>
  </si>
  <si>
    <t>In Lakhs</t>
  </si>
  <si>
    <t xml:space="preserve">     Cost of Operations</t>
  </si>
  <si>
    <t>Current Assets</t>
  </si>
  <si>
    <r>
      <t xml:space="preserve"> A.</t>
    </r>
    <r>
      <rPr>
        <b/>
        <sz val="11"/>
        <rFont val="Times New Roman"/>
        <family val="1"/>
      </rPr>
      <t>INCOME</t>
    </r>
    <r>
      <rPr>
        <sz val="11"/>
        <rFont val="Times New Roman"/>
        <family val="1"/>
      </rPr>
      <t>:</t>
    </r>
  </si>
  <si>
    <t xml:space="preserve">Total </t>
  </si>
  <si>
    <t>E.  Selling  &amp; Admin. Exp. ( Increase 5% every Year)</t>
  </si>
  <si>
    <t>Purchae of raw materials</t>
  </si>
  <si>
    <t>Consumble Purchase &amp; Exp</t>
  </si>
  <si>
    <t>Wages &amp; Salary</t>
  </si>
  <si>
    <t>Power Charges ( Electricity exp)</t>
  </si>
  <si>
    <t>Closing Inventory</t>
  </si>
  <si>
    <t>Opening Inventory</t>
  </si>
  <si>
    <t>Sales ( Increase 15% Every year)</t>
  </si>
  <si>
    <r>
      <t xml:space="preserve">B. </t>
    </r>
    <r>
      <rPr>
        <b/>
        <sz val="11"/>
        <rFont val="Times New Roman"/>
        <family val="1"/>
      </rPr>
      <t xml:space="preserve">EXPENSES: </t>
    </r>
    <r>
      <rPr>
        <sz val="11"/>
        <rFont val="Times New Roman"/>
        <family val="1"/>
      </rPr>
      <t>(Increase 5% every year)</t>
    </r>
  </si>
  <si>
    <t>Other Income</t>
  </si>
  <si>
    <t>OPERATING ACTIVITY</t>
  </si>
  <si>
    <t>Net Profit after Depreciation</t>
  </si>
  <si>
    <t>Add</t>
  </si>
  <si>
    <t>Changes in Creditors</t>
  </si>
  <si>
    <t>Expense of Finance Activity</t>
  </si>
  <si>
    <t>Changes in Inventory</t>
  </si>
  <si>
    <t>Less</t>
  </si>
  <si>
    <t>Changes in Debtors</t>
  </si>
  <si>
    <t>Income of Investment Activity</t>
  </si>
  <si>
    <t>OPERATING ACTIVITY -A</t>
  </si>
  <si>
    <t>TOTAL</t>
  </si>
  <si>
    <t>INVESTMENT ACTIVITY</t>
  </si>
  <si>
    <t>Income from Investments</t>
  </si>
  <si>
    <t>Changes in Fixed Assets</t>
  </si>
  <si>
    <t>Changes in Investments</t>
  </si>
  <si>
    <t>INVESTMENT ACTIVITY -B</t>
  </si>
  <si>
    <t>FINANCING ACTIVITY</t>
  </si>
  <si>
    <t>Changes in Loans Liability</t>
  </si>
  <si>
    <t>Changes in O/s Taxes</t>
  </si>
  <si>
    <t>Changes in Loans &amp; Advances</t>
  </si>
  <si>
    <t>Changes in Other Current Assets</t>
  </si>
  <si>
    <t>Interest Expense</t>
  </si>
  <si>
    <t>Reduction in Capital</t>
  </si>
  <si>
    <t>FINANCING ACTIVITY -C</t>
  </si>
  <si>
    <t>Cash &amp; Cash Equivalent</t>
  </si>
  <si>
    <t>D=(A+B+C)</t>
  </si>
  <si>
    <t>Opening Cash Balance</t>
  </si>
  <si>
    <t>E</t>
  </si>
  <si>
    <t>Closing Cash Balance</t>
  </si>
  <si>
    <t>F =(D+E)</t>
  </si>
  <si>
    <t>Particular</t>
  </si>
  <si>
    <t xml:space="preserve">CASH FLOW STATEMENT  </t>
  </si>
  <si>
    <t>Profit before Interest &amp; Depreciation</t>
  </si>
  <si>
    <t>Net Profit</t>
  </si>
  <si>
    <t>Opening Capital</t>
  </si>
  <si>
    <t>Drawings</t>
  </si>
  <si>
    <t>Closing Capital</t>
  </si>
  <si>
    <t>SOURCE OF FUNDS</t>
  </si>
  <si>
    <t>Capital A/c</t>
  </si>
  <si>
    <t>Loans Liability</t>
  </si>
  <si>
    <t>Secured Loans</t>
  </si>
  <si>
    <t>Unsecured Loans</t>
  </si>
  <si>
    <t>Current Liabilities &amp; Provisions</t>
  </si>
  <si>
    <t xml:space="preserve">Sundry Creditors </t>
  </si>
  <si>
    <t>Duties &amp; Taxes / Provisions</t>
  </si>
  <si>
    <t>APPLICATIONS OF FUNDS</t>
  </si>
  <si>
    <t>Investments</t>
  </si>
  <si>
    <t>Loans &amp; Advances</t>
  </si>
  <si>
    <t>Sundry Debtors</t>
  </si>
  <si>
    <t>Closing Stock</t>
  </si>
  <si>
    <t>Other Current Assets</t>
  </si>
  <si>
    <t>Cash &amp; Bank Balance</t>
  </si>
  <si>
    <t xml:space="preserve">PROFIT &amp; LOSS A/C </t>
  </si>
  <si>
    <t xml:space="preserve">CAPITAL A/C </t>
  </si>
  <si>
    <t xml:space="preserve">BALANCE SHEET  </t>
  </si>
  <si>
    <t>Interest on Loans</t>
  </si>
  <si>
    <t>Addittion</t>
  </si>
  <si>
    <t xml:space="preserve">Cash Credit/bank borrowing </t>
  </si>
  <si>
    <t xml:space="preserve">Fixed Assets </t>
  </si>
  <si>
    <t>STATEMENT NO.3</t>
  </si>
  <si>
    <t>STATEMENT NO.4</t>
  </si>
  <si>
    <t>Total  SOURCE OF FUNDS</t>
  </si>
  <si>
    <t>Total APPLICATION OF FUNDS</t>
  </si>
  <si>
    <t>Profit and loss A/c &amp; Balance sheet</t>
  </si>
  <si>
    <t>Other Current Liabilities</t>
  </si>
  <si>
    <t>M/s ABC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</si>
</sst>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Georgia"/>
      <family val="1"/>
    </font>
    <font>
      <sz val="11"/>
      <name val="Georgia"/>
      <family val="1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/>
    <xf numFmtId="43" fontId="3" fillId="0" borderId="6" xfId="1" applyFont="1" applyFill="1" applyBorder="1" applyAlignment="1"/>
    <xf numFmtId="43" fontId="2" fillId="0" borderId="0" xfId="0" applyNumberFormat="1" applyFont="1"/>
    <xf numFmtId="0" fontId="2" fillId="0" borderId="10" xfId="0" applyFont="1" applyBorder="1" applyAlignment="1">
      <alignment horizontal="center" vertical="center"/>
    </xf>
    <xf numFmtId="43" fontId="3" fillId="0" borderId="6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43" fontId="3" fillId="0" borderId="6" xfId="1" applyFont="1" applyFill="1" applyBorder="1" applyAlignment="1">
      <alignment horizontal="right"/>
    </xf>
    <xf numFmtId="0" fontId="3" fillId="0" borderId="5" xfId="0" applyFont="1" applyBorder="1" applyAlignment="1">
      <alignment horizontal="left" wrapText="1" indent="1"/>
    </xf>
    <xf numFmtId="43" fontId="2" fillId="0" borderId="10" xfId="1" applyFont="1" applyFill="1" applyBorder="1" applyAlignment="1">
      <alignment horizontal="right"/>
    </xf>
    <xf numFmtId="43" fontId="3" fillId="0" borderId="5" xfId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9" fontId="3" fillId="0" borderId="0" xfId="0" applyNumberFormat="1" applyFont="1"/>
    <xf numFmtId="43" fontId="3" fillId="0" borderId="8" xfId="1" applyFont="1" applyFill="1" applyBorder="1" applyAlignment="1">
      <alignment horizontal="right"/>
    </xf>
    <xf numFmtId="0" fontId="2" fillId="0" borderId="6" xfId="0" applyFont="1" applyBorder="1"/>
    <xf numFmtId="43" fontId="2" fillId="0" borderId="12" xfId="1" applyFont="1" applyFill="1" applyBorder="1" applyAlignment="1">
      <alignment horizontal="right"/>
    </xf>
    <xf numFmtId="43" fontId="3" fillId="0" borderId="5" xfId="1" applyFont="1" applyFill="1" applyBorder="1"/>
    <xf numFmtId="43" fontId="3" fillId="0" borderId="2" xfId="1" applyFont="1" applyFill="1" applyBorder="1"/>
    <xf numFmtId="43" fontId="2" fillId="0" borderId="5" xfId="1" applyFont="1" applyFill="1" applyBorder="1" applyAlignment="1">
      <alignment horizontal="right"/>
    </xf>
    <xf numFmtId="43" fontId="3" fillId="0" borderId="5" xfId="1" applyFont="1" applyFill="1" applyBorder="1" applyAlignment="1">
      <alignment horizontal="right"/>
    </xf>
    <xf numFmtId="43" fontId="3" fillId="0" borderId="12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0" xfId="1" applyFont="1" applyFill="1"/>
    <xf numFmtId="43" fontId="3" fillId="0" borderId="7" xfId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horizontal="right"/>
    </xf>
    <xf numFmtId="166" fontId="5" fillId="0" borderId="0" xfId="1" applyNumberFormat="1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43" fontId="3" fillId="0" borderId="7" xfId="1" applyFont="1" applyFill="1" applyBorder="1"/>
    <xf numFmtId="43" fontId="3" fillId="0" borderId="9" xfId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165" fontId="6" fillId="0" borderId="6" xfId="1" applyNumberFormat="1" applyFont="1" applyBorder="1"/>
    <xf numFmtId="165" fontId="6" fillId="0" borderId="0" xfId="0" applyNumberFormat="1" applyFont="1"/>
    <xf numFmtId="0" fontId="10" fillId="0" borderId="0" xfId="0" applyFont="1"/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10" fillId="0" borderId="12" xfId="0" applyFont="1" applyBorder="1" applyAlignment="1">
      <alignment horizontal="center" vertical="center"/>
    </xf>
    <xf numFmtId="165" fontId="6" fillId="0" borderId="0" xfId="1" applyNumberFormat="1" applyFont="1" applyFill="1" applyBorder="1"/>
    <xf numFmtId="0" fontId="10" fillId="0" borderId="12" xfId="0" applyFont="1" applyBorder="1"/>
    <xf numFmtId="165" fontId="6" fillId="0" borderId="6" xfId="1" applyNumberFormat="1" applyFont="1" applyFill="1" applyBorder="1"/>
    <xf numFmtId="165" fontId="10" fillId="0" borderId="10" xfId="1" applyNumberFormat="1" applyFont="1" applyFill="1" applyBorder="1"/>
    <xf numFmtId="165" fontId="8" fillId="0" borderId="0" xfId="0" applyNumberFormat="1" applyFont="1"/>
    <xf numFmtId="0" fontId="10" fillId="0" borderId="5" xfId="0" applyFont="1" applyBorder="1"/>
    <xf numFmtId="0" fontId="6" fillId="0" borderId="6" xfId="0" applyFont="1" applyBorder="1"/>
    <xf numFmtId="166" fontId="4" fillId="0" borderId="6" xfId="1" applyNumberFormat="1" applyFont="1" applyFill="1" applyBorder="1" applyAlignment="1">
      <alignment vertical="center" wrapText="1"/>
    </xf>
    <xf numFmtId="0" fontId="11" fillId="0" borderId="6" xfId="0" applyFont="1" applyBorder="1"/>
    <xf numFmtId="0" fontId="10" fillId="0" borderId="14" xfId="0" applyFont="1" applyBorder="1"/>
    <xf numFmtId="165" fontId="10" fillId="0" borderId="13" xfId="1" applyNumberFormat="1" applyFont="1" applyFill="1" applyBorder="1"/>
    <xf numFmtId="165" fontId="10" fillId="0" borderId="13" xfId="1" applyNumberFormat="1" applyFont="1" applyBorder="1"/>
    <xf numFmtId="0" fontId="6" fillId="0" borderId="0" xfId="0" applyFont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65" fontId="6" fillId="0" borderId="5" xfId="1" applyNumberFormat="1" applyFont="1" applyFill="1" applyBorder="1"/>
    <xf numFmtId="0" fontId="10" fillId="0" borderId="11" xfId="0" applyFont="1" applyBorder="1" applyAlignment="1">
      <alignment horizontal="center" vertical="center"/>
    </xf>
    <xf numFmtId="165" fontId="10" fillId="0" borderId="12" xfId="1" applyNumberFormat="1" applyFont="1" applyFill="1" applyBorder="1"/>
    <xf numFmtId="0" fontId="10" fillId="0" borderId="15" xfId="0" applyFont="1" applyBorder="1" applyAlignment="1">
      <alignment horizontal="center" vertical="center"/>
    </xf>
    <xf numFmtId="165" fontId="10" fillId="0" borderId="15" xfId="1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4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51.85546875" style="2" customWidth="1"/>
    <col min="2" max="2" width="15.42578125" style="2" customWidth="1"/>
    <col min="3" max="3" width="16.5703125" style="2" customWidth="1"/>
    <col min="4" max="4" width="16.42578125" style="2" customWidth="1"/>
    <col min="5" max="5" width="17.85546875" style="2" customWidth="1"/>
    <col min="6" max="6" width="16.42578125" style="2" customWidth="1"/>
    <col min="7" max="16384" width="9.140625" style="2"/>
  </cols>
  <sheetData>
    <row r="1" spans="1:9" x14ac:dyDescent="0.25">
      <c r="A1" s="11" t="s">
        <v>94</v>
      </c>
    </row>
    <row r="2" spans="1:9" x14ac:dyDescent="0.25">
      <c r="A2" s="1" t="s">
        <v>8</v>
      </c>
      <c r="B2" s="1"/>
    </row>
    <row r="3" spans="1:9" x14ac:dyDescent="0.25">
      <c r="A3" s="1" t="s">
        <v>1</v>
      </c>
      <c r="B3" s="1"/>
      <c r="E3" s="3"/>
      <c r="F3" s="3" t="s">
        <v>14</v>
      </c>
    </row>
    <row r="4" spans="1:9" x14ac:dyDescent="0.25">
      <c r="A4" s="70" t="s">
        <v>2</v>
      </c>
      <c r="B4" s="72" t="s">
        <v>13</v>
      </c>
      <c r="C4" s="73"/>
      <c r="D4" s="73"/>
      <c r="E4" s="73"/>
      <c r="F4" s="74"/>
    </row>
    <row r="5" spans="1:9" x14ac:dyDescent="0.25">
      <c r="A5" s="71"/>
      <c r="B5" s="12">
        <v>2022</v>
      </c>
      <c r="C5" s="8">
        <v>2023</v>
      </c>
      <c r="D5" s="7">
        <v>2024</v>
      </c>
      <c r="E5" s="8">
        <v>2025</v>
      </c>
      <c r="F5" s="8">
        <v>2026</v>
      </c>
    </row>
    <row r="6" spans="1:9" x14ac:dyDescent="0.25">
      <c r="A6" s="4" t="s">
        <v>17</v>
      </c>
      <c r="B6" s="4"/>
      <c r="C6" s="13"/>
      <c r="D6" s="14"/>
      <c r="E6" s="13"/>
      <c r="F6" s="13"/>
    </row>
    <row r="7" spans="1:9" x14ac:dyDescent="0.25">
      <c r="A7" s="15" t="s">
        <v>26</v>
      </c>
      <c r="B7" s="16">
        <v>47704786</v>
      </c>
      <c r="C7" s="16">
        <v>77486708</v>
      </c>
      <c r="D7" s="28">
        <v>96573462</v>
      </c>
      <c r="E7" s="36">
        <v>111059481</v>
      </c>
      <c r="F7" s="36">
        <v>127718403</v>
      </c>
    </row>
    <row r="8" spans="1:9" x14ac:dyDescent="0.25">
      <c r="A8" s="15" t="s">
        <v>24</v>
      </c>
      <c r="B8" s="16">
        <v>721393</v>
      </c>
      <c r="C8" s="16">
        <v>5635568</v>
      </c>
      <c r="D8" s="28">
        <v>13515230</v>
      </c>
      <c r="E8" s="36">
        <v>14190991</v>
      </c>
      <c r="F8" s="36">
        <v>15100540</v>
      </c>
    </row>
    <row r="9" spans="1:9" x14ac:dyDescent="0.25">
      <c r="A9" s="17" t="s">
        <v>28</v>
      </c>
      <c r="B9" s="16">
        <v>135</v>
      </c>
      <c r="C9" s="16">
        <v>23409</v>
      </c>
      <c r="D9" s="28"/>
      <c r="E9" s="16"/>
      <c r="F9" s="16"/>
    </row>
    <row r="10" spans="1:9" x14ac:dyDescent="0.25">
      <c r="A10" s="9" t="s">
        <v>18</v>
      </c>
      <c r="B10" s="18">
        <f>SUM(B6:B9)</f>
        <v>48426314</v>
      </c>
      <c r="C10" s="18">
        <f t="shared" ref="C10:F10" si="0">SUM(C6:C9)</f>
        <v>83145685</v>
      </c>
      <c r="D10" s="24">
        <f t="shared" si="0"/>
        <v>110088692</v>
      </c>
      <c r="E10" s="18">
        <f t="shared" si="0"/>
        <v>125250472</v>
      </c>
      <c r="F10" s="18">
        <f t="shared" si="0"/>
        <v>142818943</v>
      </c>
    </row>
    <row r="11" spans="1:9" x14ac:dyDescent="0.25">
      <c r="A11" s="6" t="s">
        <v>27</v>
      </c>
      <c r="B11" s="19"/>
      <c r="C11" s="13"/>
      <c r="D11" s="13"/>
      <c r="E11" s="13"/>
      <c r="F11" s="13"/>
    </row>
    <row r="12" spans="1:9" x14ac:dyDescent="0.25">
      <c r="A12" s="20" t="s">
        <v>20</v>
      </c>
      <c r="B12" s="19">
        <v>38512268</v>
      </c>
      <c r="C12" s="19">
        <v>68677448.769999996</v>
      </c>
      <c r="D12" s="19">
        <v>84286277.480000004</v>
      </c>
      <c r="E12" s="19">
        <v>90065391</v>
      </c>
      <c r="F12" s="19">
        <v>105933029</v>
      </c>
      <c r="I12" s="21"/>
    </row>
    <row r="13" spans="1:9" x14ac:dyDescent="0.25">
      <c r="A13" s="6" t="s">
        <v>21</v>
      </c>
      <c r="B13" s="19">
        <v>1185751</v>
      </c>
      <c r="C13" s="19">
        <f>7147337.63</f>
        <v>7147337.6299999999</v>
      </c>
      <c r="D13" s="19">
        <v>14369764</v>
      </c>
      <c r="E13" s="19">
        <v>15088252</v>
      </c>
      <c r="F13" s="13">
        <v>15882664</v>
      </c>
    </row>
    <row r="14" spans="1:9" x14ac:dyDescent="0.25">
      <c r="A14" s="6" t="s">
        <v>23</v>
      </c>
      <c r="B14" s="19">
        <v>427187</v>
      </c>
      <c r="C14" s="19">
        <v>679232</v>
      </c>
      <c r="D14" s="19">
        <v>383119</v>
      </c>
      <c r="E14" s="19">
        <v>402274</v>
      </c>
      <c r="F14" s="19">
        <v>422387</v>
      </c>
    </row>
    <row r="15" spans="1:9" x14ac:dyDescent="0.25">
      <c r="A15" s="6" t="s">
        <v>25</v>
      </c>
      <c r="B15" s="19">
        <v>994684</v>
      </c>
      <c r="C15" s="19">
        <f>+B8</f>
        <v>721393</v>
      </c>
      <c r="D15" s="19">
        <f>+C8</f>
        <v>5635568</v>
      </c>
      <c r="E15" s="19">
        <f>+D8</f>
        <v>13515230</v>
      </c>
      <c r="F15" s="19">
        <f>+E8</f>
        <v>14190991</v>
      </c>
    </row>
    <row r="16" spans="1:9" x14ac:dyDescent="0.25">
      <c r="A16" s="6" t="s">
        <v>22</v>
      </c>
      <c r="B16" s="22">
        <v>1231002</v>
      </c>
      <c r="C16" s="22">
        <f>406013.4</f>
        <v>406013.4</v>
      </c>
      <c r="D16" s="22">
        <v>853005.9</v>
      </c>
      <c r="E16" s="22">
        <v>1053004.8999999999</v>
      </c>
      <c r="F16" s="22">
        <v>1105656</v>
      </c>
    </row>
    <row r="17" spans="1:9" x14ac:dyDescent="0.25">
      <c r="A17" s="23" t="s">
        <v>15</v>
      </c>
      <c r="B17" s="24">
        <f>SUM(B11:B16)</f>
        <v>42350892</v>
      </c>
      <c r="C17" s="24">
        <f>SUM(C11:C16)</f>
        <v>77631424.799999997</v>
      </c>
      <c r="D17" s="24">
        <f>SUM(D11:D16)</f>
        <v>105527734.38000001</v>
      </c>
      <c r="E17" s="24">
        <f>SUM(E11:E16)</f>
        <v>120124151.90000001</v>
      </c>
      <c r="F17" s="24">
        <f>SUM(F11:F16)</f>
        <v>137534727</v>
      </c>
      <c r="I17" s="21"/>
    </row>
    <row r="18" spans="1:9" x14ac:dyDescent="0.25">
      <c r="A18" s="6"/>
      <c r="B18" s="25"/>
      <c r="C18" s="26"/>
      <c r="D18" s="26"/>
      <c r="E18" s="26"/>
      <c r="F18" s="26"/>
    </row>
    <row r="19" spans="1:9" x14ac:dyDescent="0.25">
      <c r="A19" s="23" t="s">
        <v>3</v>
      </c>
      <c r="B19" s="27">
        <f>+B10-B17</f>
        <v>6075422</v>
      </c>
      <c r="C19" s="27">
        <f>+C10-C17</f>
        <v>5514260.200000003</v>
      </c>
      <c r="D19" s="27">
        <f>+D10-D17</f>
        <v>4560957.6199999899</v>
      </c>
      <c r="E19" s="27">
        <f>+E10-E17</f>
        <v>5126320.099999994</v>
      </c>
      <c r="F19" s="27">
        <f>+F10-F17</f>
        <v>5284216</v>
      </c>
      <c r="I19" s="21"/>
    </row>
    <row r="20" spans="1:9" x14ac:dyDescent="0.25">
      <c r="A20" s="6"/>
      <c r="B20" s="28"/>
      <c r="C20" s="16"/>
      <c r="D20" s="16"/>
      <c r="E20" s="16"/>
      <c r="F20" s="16"/>
    </row>
    <row r="21" spans="1:9" x14ac:dyDescent="0.25">
      <c r="A21" s="6" t="s">
        <v>7</v>
      </c>
      <c r="B21" s="28">
        <v>101530</v>
      </c>
      <c r="C21" s="16">
        <f>667258.06-400000</f>
        <v>267258.06000000006</v>
      </c>
      <c r="D21" s="16">
        <v>284775</v>
      </c>
      <c r="E21" s="16">
        <v>299014</v>
      </c>
      <c r="F21" s="16">
        <v>313965</v>
      </c>
    </row>
    <row r="22" spans="1:9" x14ac:dyDescent="0.25">
      <c r="A22" s="6"/>
      <c r="B22" s="29"/>
      <c r="C22" s="30"/>
      <c r="D22" s="30"/>
      <c r="E22" s="30"/>
      <c r="F22" s="30"/>
    </row>
    <row r="23" spans="1:9" x14ac:dyDescent="0.25">
      <c r="A23" s="6"/>
      <c r="B23" s="25"/>
      <c r="C23" s="25"/>
      <c r="D23" s="26"/>
      <c r="E23" s="26"/>
      <c r="F23" s="37"/>
    </row>
    <row r="24" spans="1:9" x14ac:dyDescent="0.25">
      <c r="A24" s="6" t="s">
        <v>19</v>
      </c>
      <c r="B24" s="28">
        <f>5364685+27449</f>
        <v>5392134</v>
      </c>
      <c r="C24" s="28">
        <f>3396715+282377.14+400000</f>
        <v>4079092.14</v>
      </c>
      <c r="D24" s="36">
        <f>4560957.62-1577971.98-284775</f>
        <v>2698210.64</v>
      </c>
      <c r="E24" s="36">
        <f>5126320.1-1868335.51-299014</f>
        <v>2958970.59</v>
      </c>
      <c r="F24" s="35">
        <f>5284216-2145458.82-313965</f>
        <v>2824792.18</v>
      </c>
    </row>
    <row r="25" spans="1:9" x14ac:dyDescent="0.25">
      <c r="A25" s="6"/>
      <c r="B25" s="28"/>
      <c r="C25" s="28"/>
      <c r="D25" s="16"/>
      <c r="E25" s="16"/>
      <c r="F25" s="32"/>
    </row>
    <row r="26" spans="1:9" x14ac:dyDescent="0.25">
      <c r="A26" s="6" t="s">
        <v>4</v>
      </c>
      <c r="B26" s="28">
        <f>(B19-(B21+B24))</f>
        <v>581758</v>
      </c>
      <c r="C26" s="28">
        <f>(C19-(C21+C24))</f>
        <v>1167910.0000000028</v>
      </c>
      <c r="D26" s="16">
        <f>(D19-(D21+D24))</f>
        <v>1577971.9799999897</v>
      </c>
      <c r="E26" s="16">
        <f>(E19-(E21+E24))</f>
        <v>1868335.5099999942</v>
      </c>
      <c r="F26" s="34">
        <f>(F19-(F21+F24))</f>
        <v>2145458.8199999998</v>
      </c>
    </row>
    <row r="27" spans="1:9" x14ac:dyDescent="0.25">
      <c r="A27" s="6"/>
      <c r="B27" s="28"/>
      <c r="C27" s="28"/>
      <c r="D27" s="16"/>
      <c r="E27" s="16"/>
      <c r="F27" s="32"/>
    </row>
    <row r="28" spans="1:9" x14ac:dyDescent="0.25">
      <c r="A28" s="6" t="s">
        <v>5</v>
      </c>
      <c r="B28" s="28">
        <f>581758-544726</f>
        <v>37032</v>
      </c>
      <c r="C28" s="28">
        <f>1167910-1033894</f>
        <v>134016</v>
      </c>
      <c r="D28" s="16">
        <f>1577972-1085645</f>
        <v>492327</v>
      </c>
      <c r="E28" s="16">
        <f>1868336-1285415</f>
        <v>582921</v>
      </c>
      <c r="F28" s="34">
        <f>2145459-1476076</f>
        <v>669383</v>
      </c>
    </row>
    <row r="29" spans="1:9" x14ac:dyDescent="0.25">
      <c r="A29" s="6"/>
      <c r="B29" s="28"/>
      <c r="C29" s="28"/>
      <c r="D29" s="16"/>
      <c r="E29" s="16"/>
      <c r="F29" s="32"/>
    </row>
    <row r="30" spans="1:9" x14ac:dyDescent="0.25">
      <c r="A30" s="6" t="s">
        <v>11</v>
      </c>
      <c r="B30" s="28">
        <f>+B26-B28</f>
        <v>544726</v>
      </c>
      <c r="C30" s="28">
        <f t="shared" ref="C30:F30" si="1">+C26-C28</f>
        <v>1033894.0000000028</v>
      </c>
      <c r="D30" s="16">
        <f t="shared" si="1"/>
        <v>1085644.9799999897</v>
      </c>
      <c r="E30" s="16">
        <f t="shared" si="1"/>
        <v>1285414.5099999942</v>
      </c>
      <c r="F30" s="34">
        <f t="shared" si="1"/>
        <v>1476075.8199999998</v>
      </c>
    </row>
    <row r="31" spans="1:9" x14ac:dyDescent="0.25">
      <c r="A31" s="6"/>
      <c r="B31" s="28"/>
      <c r="C31" s="28"/>
      <c r="D31" s="16"/>
      <c r="E31" s="16"/>
      <c r="F31" s="32"/>
    </row>
    <row r="32" spans="1:9" x14ac:dyDescent="0.25">
      <c r="A32" s="6" t="s">
        <v>10</v>
      </c>
      <c r="B32" s="28">
        <v>27450</v>
      </c>
      <c r="C32" s="28">
        <v>282378</v>
      </c>
      <c r="D32" s="16">
        <v>1159149</v>
      </c>
      <c r="E32" s="36">
        <v>1438135.59</v>
      </c>
      <c r="F32" s="33">
        <v>1227917</v>
      </c>
    </row>
    <row r="33" spans="1:6" x14ac:dyDescent="0.25">
      <c r="A33" s="6"/>
      <c r="B33" s="28"/>
      <c r="C33" s="28"/>
      <c r="D33" s="16"/>
      <c r="E33" s="16"/>
      <c r="F33" s="32"/>
    </row>
    <row r="34" spans="1:6" x14ac:dyDescent="0.25">
      <c r="A34" s="6" t="s">
        <v>6</v>
      </c>
      <c r="B34" s="28">
        <f>+B30+B32</f>
        <v>572176</v>
      </c>
      <c r="C34" s="28">
        <f t="shared" ref="C34:F34" si="2">+C30+C32</f>
        <v>1316272.0000000028</v>
      </c>
      <c r="D34" s="16">
        <f t="shared" si="2"/>
        <v>2244793.9799999897</v>
      </c>
      <c r="E34" s="16">
        <f t="shared" si="2"/>
        <v>2723550.099999994</v>
      </c>
      <c r="F34" s="34">
        <f t="shared" si="2"/>
        <v>2703992.82</v>
      </c>
    </row>
    <row r="35" spans="1:6" x14ac:dyDescent="0.25">
      <c r="A35" s="6"/>
      <c r="B35" s="28"/>
      <c r="C35" s="28"/>
      <c r="D35" s="16"/>
      <c r="E35" s="16"/>
      <c r="F35" s="32"/>
    </row>
    <row r="36" spans="1:6" s="31" customFormat="1" x14ac:dyDescent="0.25">
      <c r="A36" s="10" t="s">
        <v>9</v>
      </c>
      <c r="B36" s="28">
        <v>109800</v>
      </c>
      <c r="C36" s="28">
        <v>109800</v>
      </c>
      <c r="D36" s="16">
        <v>109800</v>
      </c>
      <c r="E36" s="16">
        <v>109800</v>
      </c>
      <c r="F36" s="34">
        <v>109800</v>
      </c>
    </row>
    <row r="37" spans="1:6" x14ac:dyDescent="0.25">
      <c r="A37" s="6"/>
      <c r="B37" s="28"/>
      <c r="C37" s="28"/>
      <c r="D37" s="38"/>
      <c r="E37" s="38"/>
      <c r="F37" s="32"/>
    </row>
    <row r="38" spans="1:6" x14ac:dyDescent="0.25">
      <c r="A38" s="5" t="s">
        <v>12</v>
      </c>
      <c r="B38" s="29">
        <f>+B34-B36</f>
        <v>462376</v>
      </c>
      <c r="C38" s="29">
        <f t="shared" ref="C38:F38" si="3">+C34-C36</f>
        <v>1206472.0000000028</v>
      </c>
      <c r="D38" s="29">
        <f t="shared" si="3"/>
        <v>2134993.9799999897</v>
      </c>
      <c r="E38" s="29">
        <f t="shared" si="3"/>
        <v>2613750.099999994</v>
      </c>
      <c r="F38" s="29">
        <f t="shared" si="3"/>
        <v>2594192.8199999998</v>
      </c>
    </row>
    <row r="43" spans="1:6" x14ac:dyDescent="0.25">
      <c r="C43" s="31"/>
    </row>
    <row r="44" spans="1:6" x14ac:dyDescent="0.25">
      <c r="C44" s="31"/>
      <c r="D44" s="31"/>
      <c r="E44" s="31"/>
    </row>
  </sheetData>
  <mergeCells count="2">
    <mergeCell ref="A4:A5"/>
    <mergeCell ref="B4:F4"/>
  </mergeCells>
  <phoneticPr fontId="0" type="noConversion"/>
  <pageMargins left="0.84" right="0.44" top="0.89" bottom="0.57999999999999996" header="0.26" footer="0.5"/>
  <pageSetup scale="81" orientation="portrait" horizontalDpi="4294967293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5"/>
  <sheetViews>
    <sheetView tabSelected="1" view="pageBreakPreview" zoomScale="91" zoomScaleNormal="100" zoomScaleSheetLayoutView="91" workbookViewId="0">
      <selection activeCell="F16" sqref="F16"/>
    </sheetView>
  </sheetViews>
  <sheetFormatPr defaultRowHeight="14.25" x14ac:dyDescent="0.2"/>
  <cols>
    <col min="1" max="1" width="1.7109375" style="39" customWidth="1"/>
    <col min="2" max="2" width="34.5703125" style="39" customWidth="1"/>
    <col min="3" max="3" width="14" style="39" customWidth="1"/>
    <col min="4" max="4" width="15.85546875" style="39" customWidth="1"/>
    <col min="5" max="7" width="16.140625" style="39" customWidth="1"/>
    <col min="8" max="8" width="15.85546875" style="39" customWidth="1"/>
    <col min="9" max="16384" width="9.140625" style="39"/>
  </cols>
  <sheetData>
    <row r="1" spans="1:8" ht="23.25" x14ac:dyDescent="0.35">
      <c r="A1" s="77" t="str">
        <f>+profit!A1</f>
        <v>M/s ABC LTD</v>
      </c>
      <c r="B1" s="77"/>
      <c r="C1" s="77"/>
      <c r="D1" s="77"/>
      <c r="E1" s="77"/>
      <c r="F1" s="77"/>
      <c r="G1" s="77"/>
      <c r="H1" s="77"/>
    </row>
    <row r="2" spans="1:8" ht="15" x14ac:dyDescent="0.25">
      <c r="D2" s="45"/>
    </row>
    <row r="3" spans="1:8" ht="15" x14ac:dyDescent="0.25">
      <c r="B3" s="44" t="s">
        <v>88</v>
      </c>
    </row>
    <row r="6" spans="1:8" ht="20.25" x14ac:dyDescent="0.3">
      <c r="B6" s="76" t="s">
        <v>60</v>
      </c>
      <c r="C6" s="76"/>
      <c r="D6" s="76"/>
      <c r="E6" s="76"/>
      <c r="F6" s="76"/>
      <c r="G6" s="76"/>
      <c r="H6" s="76"/>
    </row>
    <row r="9" spans="1:8" ht="18" x14ac:dyDescent="0.2">
      <c r="B9" s="63" t="s">
        <v>59</v>
      </c>
      <c r="C9" s="64"/>
      <c r="D9" s="12">
        <v>2022</v>
      </c>
      <c r="E9" s="7">
        <v>2023</v>
      </c>
      <c r="F9" s="8">
        <v>2024</v>
      </c>
      <c r="G9" s="8">
        <v>2025</v>
      </c>
      <c r="H9" s="8">
        <v>2026</v>
      </c>
    </row>
    <row r="10" spans="1:8" ht="15" x14ac:dyDescent="0.25">
      <c r="B10" s="55" t="s">
        <v>29</v>
      </c>
      <c r="C10" s="46"/>
      <c r="D10" s="56"/>
      <c r="E10" s="48"/>
      <c r="F10" s="56"/>
      <c r="G10" s="56"/>
      <c r="H10" s="56"/>
    </row>
    <row r="11" spans="1:8" ht="15" x14ac:dyDescent="0.25">
      <c r="B11" s="55" t="s">
        <v>30</v>
      </c>
      <c r="C11" s="46"/>
      <c r="D11" s="52">
        <f>+profit!B30</f>
        <v>544726</v>
      </c>
      <c r="E11" s="65">
        <f>+profit!C30</f>
        <v>1033894.0000000028</v>
      </c>
      <c r="F11" s="52">
        <f>+profit!D30</f>
        <v>1085644.9799999897</v>
      </c>
      <c r="G11" s="52">
        <f>+profit!E30</f>
        <v>1285414.5099999942</v>
      </c>
      <c r="H11" s="52">
        <f>+profit!F30</f>
        <v>1476075.8199999998</v>
      </c>
    </row>
    <row r="12" spans="1:8" x14ac:dyDescent="0.2">
      <c r="B12" s="48" t="s">
        <v>0</v>
      </c>
      <c r="C12" s="46" t="s">
        <v>31</v>
      </c>
      <c r="D12" s="52">
        <f>+profit!B32</f>
        <v>27450</v>
      </c>
      <c r="E12" s="65">
        <f>+profit!C32</f>
        <v>282378</v>
      </c>
      <c r="F12" s="52">
        <f>+profit!D32</f>
        <v>1159149</v>
      </c>
      <c r="G12" s="52">
        <f>+profit!E32</f>
        <v>1438135.59</v>
      </c>
      <c r="H12" s="52">
        <f>+profit!F32</f>
        <v>1227917</v>
      </c>
    </row>
    <row r="13" spans="1:8" x14ac:dyDescent="0.2">
      <c r="B13" s="48" t="s">
        <v>32</v>
      </c>
      <c r="C13" s="46" t="s">
        <v>31</v>
      </c>
      <c r="D13" s="52">
        <v>0</v>
      </c>
      <c r="E13" s="65">
        <f>+'Balance sheet '!C35-'Balance sheet '!D35</f>
        <v>-8154422.9600000009</v>
      </c>
      <c r="F13" s="52">
        <f>+'Balance sheet '!D35-'Balance sheet '!E35</f>
        <v>-1092017.0399999991</v>
      </c>
      <c r="G13" s="52">
        <f>+'Balance sheet '!E35-'Balance sheet '!F35</f>
        <v>-567103</v>
      </c>
      <c r="H13" s="52">
        <f>+'Balance sheet '!F35-'Balance sheet '!G35</f>
        <v>-567103</v>
      </c>
    </row>
    <row r="14" spans="1:8" x14ac:dyDescent="0.2">
      <c r="B14" s="48" t="s">
        <v>33</v>
      </c>
      <c r="C14" s="46" t="s">
        <v>31</v>
      </c>
      <c r="D14" s="52">
        <f>+profit!B21</f>
        <v>101530</v>
      </c>
      <c r="E14" s="65">
        <f>+profit!C21</f>
        <v>267258.06000000006</v>
      </c>
      <c r="F14" s="52">
        <f>+profit!D21</f>
        <v>284775</v>
      </c>
      <c r="G14" s="52">
        <f>+profit!E21</f>
        <v>299014</v>
      </c>
      <c r="H14" s="52">
        <f>+profit!F21</f>
        <v>313965</v>
      </c>
    </row>
    <row r="15" spans="1:8" x14ac:dyDescent="0.2">
      <c r="B15" s="48" t="s">
        <v>34</v>
      </c>
      <c r="C15" s="46" t="s">
        <v>35</v>
      </c>
      <c r="D15" s="52">
        <f>300000-721393</f>
        <v>-421393</v>
      </c>
      <c r="E15" s="65">
        <f>+'Balance sheet '!C49-'Balance sheet '!D49</f>
        <v>-4914175.4800000004</v>
      </c>
      <c r="F15" s="52">
        <f>+'Balance sheet '!D49-'Balance sheet '!E49</f>
        <v>-7879661.5199999996</v>
      </c>
      <c r="G15" s="52">
        <f>+'Balance sheet '!E49-'Balance sheet '!F49</f>
        <v>-675761</v>
      </c>
      <c r="H15" s="52">
        <f>+'Balance sheet '!F49-'Balance sheet '!G49</f>
        <v>-909549</v>
      </c>
    </row>
    <row r="16" spans="1:8" x14ac:dyDescent="0.2">
      <c r="B16" s="48" t="s">
        <v>36</v>
      </c>
      <c r="C16" s="46" t="s">
        <v>35</v>
      </c>
      <c r="D16" s="52">
        <f>1222047-'Balance sheet '!C48</f>
        <v>-3274294</v>
      </c>
      <c r="E16" s="65">
        <f>+'Balance sheet '!C48-'Balance sheet '!D48</f>
        <v>-2481587.2599999998</v>
      </c>
      <c r="F16" s="52">
        <f>+'Balance sheet '!D48-'Balance sheet '!E48</f>
        <v>-5100465.0299999993</v>
      </c>
      <c r="G16" s="52">
        <f>+'Balance sheet '!E48-'Balance sheet '!F48</f>
        <v>-1799447.7100000009</v>
      </c>
      <c r="H16" s="52">
        <f>+'Balance sheet '!F48-'Balance sheet '!G48</f>
        <v>-2660620.3800000008</v>
      </c>
    </row>
    <row r="17" spans="2:8" x14ac:dyDescent="0.2">
      <c r="B17" s="48" t="s">
        <v>37</v>
      </c>
      <c r="C17" s="46" t="s">
        <v>35</v>
      </c>
      <c r="D17" s="52">
        <v>0</v>
      </c>
      <c r="E17" s="65">
        <v>0</v>
      </c>
      <c r="F17" s="52"/>
      <c r="G17" s="52"/>
      <c r="H17" s="52">
        <v>0</v>
      </c>
    </row>
    <row r="18" spans="2:8" x14ac:dyDescent="0.2">
      <c r="B18" s="48"/>
      <c r="C18" s="46"/>
      <c r="D18" s="52"/>
      <c r="E18" s="65"/>
      <c r="F18" s="52"/>
      <c r="G18" s="52"/>
      <c r="H18" s="52"/>
    </row>
    <row r="19" spans="2:8" ht="15" x14ac:dyDescent="0.25">
      <c r="B19" s="51" t="s">
        <v>38</v>
      </c>
      <c r="C19" s="66" t="s">
        <v>39</v>
      </c>
      <c r="D19" s="53">
        <f>(D11+D12+D13+D14-D15-D16-D17)</f>
        <v>4369393</v>
      </c>
      <c r="E19" s="67">
        <f t="shared" ref="E19:H19" si="0">(E11+E12+E13+E14-E15-E16-E17)</f>
        <v>824869.84000000171</v>
      </c>
      <c r="F19" s="53">
        <f t="shared" si="0"/>
        <v>14417678.489999989</v>
      </c>
      <c r="G19" s="53">
        <f t="shared" si="0"/>
        <v>4930669.8099999949</v>
      </c>
      <c r="H19" s="53">
        <f t="shared" si="0"/>
        <v>6021024.2000000011</v>
      </c>
    </row>
    <row r="20" spans="2:8" x14ac:dyDescent="0.2">
      <c r="B20" s="48"/>
      <c r="C20" s="46"/>
      <c r="D20" s="52"/>
      <c r="E20" s="65"/>
      <c r="F20" s="52"/>
      <c r="G20" s="52"/>
      <c r="H20" s="52"/>
    </row>
    <row r="21" spans="2:8" ht="15" x14ac:dyDescent="0.25">
      <c r="B21" s="55" t="s">
        <v>40</v>
      </c>
      <c r="C21" s="46"/>
      <c r="D21" s="52"/>
      <c r="E21" s="65"/>
      <c r="F21" s="52"/>
      <c r="G21" s="52"/>
      <c r="H21" s="52"/>
    </row>
    <row r="22" spans="2:8" x14ac:dyDescent="0.2">
      <c r="B22" s="48" t="s">
        <v>41</v>
      </c>
      <c r="C22" s="46" t="s">
        <v>31</v>
      </c>
      <c r="D22" s="52">
        <f>+D17</f>
        <v>0</v>
      </c>
      <c r="E22" s="65">
        <f>+E17</f>
        <v>0</v>
      </c>
      <c r="F22" s="52"/>
      <c r="G22" s="52"/>
      <c r="H22" s="52">
        <f>+H17</f>
        <v>0</v>
      </c>
    </row>
    <row r="23" spans="2:8" x14ac:dyDescent="0.2">
      <c r="B23" s="48" t="s">
        <v>42</v>
      </c>
      <c r="C23" s="46" t="s">
        <v>35</v>
      </c>
      <c r="D23" s="52">
        <f>696796-'Balance sheet '!C42</f>
        <v>-44694</v>
      </c>
      <c r="E23" s="65">
        <f>+'Balance sheet '!C42-'Balance sheet '!D42</f>
        <v>-3581750.7199999997</v>
      </c>
      <c r="F23" s="52">
        <f>+'Balance sheet '!D42-'Balance sheet '!E42</f>
        <v>-8153525.0000000009</v>
      </c>
      <c r="G23" s="52">
        <f>+'Balance sheet '!E42-'Balance sheet '!F42</f>
        <v>1438135.5899999999</v>
      </c>
      <c r="H23" s="52">
        <f>+'Balance sheet '!F42-'Balance sheet '!G42</f>
        <v>1228517.17</v>
      </c>
    </row>
    <row r="24" spans="2:8" x14ac:dyDescent="0.2">
      <c r="B24" s="48" t="s">
        <v>43</v>
      </c>
      <c r="C24" s="46" t="s">
        <v>35</v>
      </c>
      <c r="D24" s="52">
        <v>0</v>
      </c>
      <c r="E24" s="65">
        <v>0</v>
      </c>
      <c r="F24" s="52"/>
      <c r="G24" s="52"/>
      <c r="H24" s="52">
        <v>0</v>
      </c>
    </row>
    <row r="25" spans="2:8" x14ac:dyDescent="0.2">
      <c r="B25" s="48"/>
      <c r="C25" s="46"/>
      <c r="D25" s="52"/>
      <c r="E25" s="65"/>
      <c r="F25" s="52"/>
      <c r="G25" s="52"/>
      <c r="H25" s="52"/>
    </row>
    <row r="26" spans="2:8" ht="15" x14ac:dyDescent="0.25">
      <c r="B26" s="51" t="s">
        <v>44</v>
      </c>
      <c r="C26" s="66" t="s">
        <v>39</v>
      </c>
      <c r="D26" s="53">
        <f>(-D23-D24+D22)</f>
        <v>44694</v>
      </c>
      <c r="E26" s="67">
        <f t="shared" ref="E26:H26" si="1">(-E23-E24+E22)</f>
        <v>3581750.7199999997</v>
      </c>
      <c r="F26" s="53">
        <f t="shared" si="1"/>
        <v>8153525.0000000009</v>
      </c>
      <c r="G26" s="53">
        <f t="shared" si="1"/>
        <v>-1438135.5899999999</v>
      </c>
      <c r="H26" s="53">
        <f t="shared" si="1"/>
        <v>-1228517.17</v>
      </c>
    </row>
    <row r="27" spans="2:8" x14ac:dyDescent="0.2">
      <c r="B27" s="48"/>
      <c r="C27" s="46"/>
      <c r="D27" s="52"/>
      <c r="E27" s="65"/>
      <c r="F27" s="52"/>
      <c r="G27" s="52"/>
      <c r="H27" s="52"/>
    </row>
    <row r="28" spans="2:8" ht="15" x14ac:dyDescent="0.25">
      <c r="B28" s="55" t="s">
        <v>45</v>
      </c>
      <c r="C28" s="62"/>
      <c r="D28" s="52"/>
      <c r="E28" s="65"/>
      <c r="F28" s="52"/>
      <c r="G28" s="52"/>
      <c r="H28" s="52"/>
    </row>
    <row r="29" spans="2:8" x14ac:dyDescent="0.2">
      <c r="B29" s="48" t="s">
        <v>46</v>
      </c>
      <c r="C29" s="46" t="s">
        <v>31</v>
      </c>
      <c r="D29" s="52">
        <f>1736039-'Balance sheet '!C32</f>
        <v>418216</v>
      </c>
      <c r="E29" s="65">
        <f>+'Balance sheet '!C30+'Balance sheet '!C31+'Balance sheet '!C32-'Balance sheet '!D30-'Balance sheet '!D31-'Balance sheet '!D32</f>
        <v>-4459217.32</v>
      </c>
      <c r="F29" s="52">
        <f>+'Balance sheet '!D30+'Balance sheet '!D31+'Balance sheet '!D32-'Balance sheet '!E30-'Balance sheet '!E31-'Balance sheet '!E32</f>
        <v>-7310385.6799999997</v>
      </c>
      <c r="G29" s="52">
        <f>+'Balance sheet '!E30+'Balance sheet '!E31+'Balance sheet '!E32-'Balance sheet '!F30-'Balance sheet '!F31-'Balance sheet '!F32</f>
        <v>1220829</v>
      </c>
      <c r="H29" s="52">
        <f>+'Balance sheet '!F30+'Balance sheet '!F31+'Balance sheet '!F32-'Balance sheet '!G30-'Balance sheet '!G31-'Balance sheet '!G32</f>
        <v>298128</v>
      </c>
    </row>
    <row r="30" spans="2:8" x14ac:dyDescent="0.2">
      <c r="B30" s="48" t="s">
        <v>47</v>
      </c>
      <c r="C30" s="46" t="s">
        <v>31</v>
      </c>
      <c r="D30" s="52">
        <f>11369-'Balance sheet '!C36</f>
        <v>-191605</v>
      </c>
      <c r="E30" s="65">
        <f>+'Balance sheet '!C36-'Balance sheet '!D36</f>
        <v>176022</v>
      </c>
      <c r="F30" s="52">
        <f>+'Balance sheet '!D36-'Balance sheet '!E36</f>
        <v>-555958</v>
      </c>
      <c r="G30" s="52">
        <f>+'Balance sheet '!E36-'Balance sheet '!F36</f>
        <v>-29146</v>
      </c>
      <c r="H30" s="52">
        <f>+'Balance sheet '!F36-'Balance sheet '!G36</f>
        <v>-61206</v>
      </c>
    </row>
    <row r="31" spans="2:8" x14ac:dyDescent="0.2">
      <c r="B31" s="48" t="s">
        <v>48</v>
      </c>
      <c r="C31" s="46" t="s">
        <v>35</v>
      </c>
      <c r="D31" s="52">
        <f>-'Balance sheet '!C47</f>
        <v>0</v>
      </c>
      <c r="E31" s="65">
        <f>+'Balance sheet '!C47-'Balance sheet '!D47</f>
        <v>-1271828.96</v>
      </c>
      <c r="F31" s="52">
        <f>+'Balance sheet '!D47-'Balance sheet '!E47</f>
        <v>829729</v>
      </c>
      <c r="G31" s="52">
        <f>+'Balance sheet '!E47-'Balance sheet '!F47</f>
        <v>-22105.039999999979</v>
      </c>
      <c r="H31" s="52">
        <f>+'Balance sheet '!F47-'Balance sheet '!G47</f>
        <v>-22105</v>
      </c>
    </row>
    <row r="32" spans="2:8" x14ac:dyDescent="0.2">
      <c r="B32" s="48" t="s">
        <v>49</v>
      </c>
      <c r="C32" s="46" t="s">
        <v>35</v>
      </c>
      <c r="D32" s="52">
        <f>2635827+525117+7934-'Balance sheet '!C50</f>
        <v>2012462</v>
      </c>
      <c r="E32" s="65">
        <f>+'Balance sheet '!C50-'Balance sheet '!D50</f>
        <v>-3490974.88</v>
      </c>
      <c r="F32" s="52">
        <f>+'Balance sheet '!D50-'Balance sheet '!E50</f>
        <v>2692242.88</v>
      </c>
      <c r="G32" s="52">
        <f>+'Balance sheet '!E50-'Balance sheet '!F50</f>
        <v>-1168919.3799999999</v>
      </c>
      <c r="H32" s="52">
        <f>+'Balance sheet '!F50-'Balance sheet '!G50</f>
        <v>-1314107.6200000001</v>
      </c>
    </row>
    <row r="33" spans="2:8" x14ac:dyDescent="0.2">
      <c r="B33" s="48" t="s">
        <v>50</v>
      </c>
      <c r="C33" s="46" t="s">
        <v>35</v>
      </c>
      <c r="D33" s="52">
        <f>+profit!B21</f>
        <v>101530</v>
      </c>
      <c r="E33" s="65">
        <f>+profit!C21</f>
        <v>267258.06000000006</v>
      </c>
      <c r="F33" s="52">
        <f>+profit!D21</f>
        <v>284775</v>
      </c>
      <c r="G33" s="52">
        <f>+profit!E21</f>
        <v>299014</v>
      </c>
      <c r="H33" s="52">
        <f>+profit!F21</f>
        <v>313965</v>
      </c>
    </row>
    <row r="34" spans="2:8" x14ac:dyDescent="0.2">
      <c r="B34" s="48" t="s">
        <v>51</v>
      </c>
      <c r="C34" s="46" t="s">
        <v>35</v>
      </c>
      <c r="D34" s="52">
        <v>0</v>
      </c>
      <c r="E34" s="65">
        <v>0</v>
      </c>
      <c r="F34" s="52"/>
      <c r="G34" s="52"/>
      <c r="H34" s="52">
        <v>0</v>
      </c>
    </row>
    <row r="35" spans="2:8" x14ac:dyDescent="0.2">
      <c r="B35" s="48"/>
      <c r="C35" s="46"/>
      <c r="D35" s="52"/>
      <c r="E35" s="65"/>
      <c r="F35" s="52"/>
      <c r="G35" s="52"/>
      <c r="H35" s="52"/>
    </row>
    <row r="36" spans="2:8" ht="15" x14ac:dyDescent="0.25">
      <c r="B36" s="51" t="s">
        <v>52</v>
      </c>
      <c r="C36" s="66" t="s">
        <v>39</v>
      </c>
      <c r="D36" s="53">
        <f>(D29-D33-D31-D32+D30-D34)</f>
        <v>-1887381</v>
      </c>
      <c r="E36" s="67">
        <f t="shared" ref="E36:H36" si="2">(E29-E33-E31-E32+E30-E34)</f>
        <v>212350.45999999903</v>
      </c>
      <c r="F36" s="53">
        <f t="shared" si="2"/>
        <v>-11673090.559999999</v>
      </c>
      <c r="G36" s="53">
        <f t="shared" si="2"/>
        <v>2083693.42</v>
      </c>
      <c r="H36" s="53">
        <f t="shared" si="2"/>
        <v>1259169.6200000001</v>
      </c>
    </row>
    <row r="37" spans="2:8" x14ac:dyDescent="0.2">
      <c r="B37" s="48"/>
      <c r="D37" s="56"/>
      <c r="E37" s="48"/>
      <c r="F37" s="56"/>
      <c r="G37" s="56"/>
      <c r="H37" s="56"/>
    </row>
    <row r="38" spans="2:8" x14ac:dyDescent="0.2">
      <c r="B38" s="48"/>
      <c r="D38" s="56"/>
      <c r="E38" s="48"/>
      <c r="F38" s="56"/>
      <c r="G38" s="56"/>
      <c r="H38" s="56"/>
    </row>
    <row r="39" spans="2:8" ht="15" x14ac:dyDescent="0.25">
      <c r="B39" s="51" t="s">
        <v>53</v>
      </c>
      <c r="C39" s="66" t="s">
        <v>54</v>
      </c>
      <c r="D39" s="53">
        <f>+D36+D26+D19</f>
        <v>2526706</v>
      </c>
      <c r="E39" s="67">
        <f t="shared" ref="E39:H39" si="3">+E36+E26+E19</f>
        <v>4618971.0200000005</v>
      </c>
      <c r="F39" s="53">
        <f t="shared" si="3"/>
        <v>10898112.929999992</v>
      </c>
      <c r="G39" s="53">
        <f t="shared" si="3"/>
        <v>5576227.639999995</v>
      </c>
      <c r="H39" s="53">
        <f t="shared" si="3"/>
        <v>6051676.6500000013</v>
      </c>
    </row>
    <row r="40" spans="2:8" x14ac:dyDescent="0.2">
      <c r="B40" s="48"/>
      <c r="C40" s="46"/>
      <c r="D40" s="52"/>
      <c r="E40" s="65"/>
      <c r="F40" s="52"/>
      <c r="G40" s="52"/>
      <c r="H40" s="52"/>
    </row>
    <row r="41" spans="2:8" x14ac:dyDescent="0.2">
      <c r="B41" s="48"/>
      <c r="C41" s="46"/>
      <c r="D41" s="52"/>
      <c r="E41" s="65"/>
      <c r="F41" s="52"/>
      <c r="G41" s="52"/>
      <c r="H41" s="52"/>
    </row>
    <row r="42" spans="2:8" ht="15" x14ac:dyDescent="0.25">
      <c r="B42" s="51" t="s">
        <v>55</v>
      </c>
      <c r="C42" s="66" t="s">
        <v>56</v>
      </c>
      <c r="D42" s="53">
        <f>246729+172101+403985</f>
        <v>822815</v>
      </c>
      <c r="E42" s="67">
        <f>+'Balance sheet '!C51</f>
        <v>832423</v>
      </c>
      <c r="F42" s="53">
        <f>+'Balance sheet '!D51</f>
        <v>3116923.84</v>
      </c>
      <c r="G42" s="53">
        <f>+'Balance sheet '!E51</f>
        <v>1166575.8700000001</v>
      </c>
      <c r="H42" s="53">
        <f>+'Balance sheet '!F51</f>
        <v>1224905</v>
      </c>
    </row>
    <row r="43" spans="2:8" ht="15.75" thickBot="1" x14ac:dyDescent="0.3">
      <c r="B43" s="59" t="s">
        <v>57</v>
      </c>
      <c r="C43" s="68" t="s">
        <v>58</v>
      </c>
      <c r="D43" s="60">
        <f>+D39+D42</f>
        <v>3349521</v>
      </c>
      <c r="E43" s="69">
        <f>+E39+E42</f>
        <v>5451394.0200000005</v>
      </c>
      <c r="F43" s="60">
        <f t="shared" ref="F43:H43" si="4">+F39+F42</f>
        <v>14015036.769999992</v>
      </c>
      <c r="G43" s="60">
        <f t="shared" si="4"/>
        <v>6742803.5099999951</v>
      </c>
      <c r="H43" s="60">
        <f t="shared" si="4"/>
        <v>7276581.6500000013</v>
      </c>
    </row>
    <row r="44" spans="2:8" ht="15" thickTop="1" x14ac:dyDescent="0.2">
      <c r="C44" s="46"/>
      <c r="D44" s="50"/>
      <c r="E44" s="50"/>
      <c r="F44" s="50"/>
      <c r="G44" s="50"/>
      <c r="H44" s="50"/>
    </row>
    <row r="45" spans="2:8" x14ac:dyDescent="0.2">
      <c r="C45" s="46"/>
      <c r="D45" s="50"/>
      <c r="E45" s="50"/>
      <c r="F45" s="50"/>
      <c r="G45" s="50"/>
      <c r="H45" s="50"/>
    </row>
  </sheetData>
  <mergeCells count="2">
    <mergeCell ref="B6:H6"/>
    <mergeCell ref="A1:H1"/>
  </mergeCells>
  <phoneticPr fontId="0" type="noConversion"/>
  <printOptions horizontalCentered="1" verticalCentered="1"/>
  <pageMargins left="0.16" right="0.23" top="0.51" bottom="0.43" header="0.36" footer="0.5"/>
  <pageSetup scale="85" orientation="landscape" horizontalDpi="4294967293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C851-9DF5-424E-87DA-E6254417BF60}">
  <dimension ref="B1:H59"/>
  <sheetViews>
    <sheetView workbookViewId="0">
      <selection activeCell="C31" sqref="C31"/>
    </sheetView>
  </sheetViews>
  <sheetFormatPr defaultRowHeight="14.25" x14ac:dyDescent="0.2"/>
  <cols>
    <col min="1" max="1" width="1.7109375" style="39" customWidth="1"/>
    <col min="2" max="2" width="34.28515625" style="39" customWidth="1"/>
    <col min="3" max="3" width="15.85546875" style="39" customWidth="1"/>
    <col min="4" max="4" width="18.85546875" style="39" bestFit="1" customWidth="1"/>
    <col min="5" max="7" width="18.28515625" style="39" bestFit="1" customWidth="1"/>
    <col min="8" max="16384" width="9.140625" style="39"/>
  </cols>
  <sheetData>
    <row r="1" spans="2:7" ht="15" x14ac:dyDescent="0.25">
      <c r="D1" s="44" t="str">
        <f>+Cash!A1</f>
        <v>M/s ABC LTD</v>
      </c>
    </row>
    <row r="2" spans="2:7" ht="15" x14ac:dyDescent="0.25">
      <c r="D2" s="45"/>
    </row>
    <row r="3" spans="2:7" ht="15" x14ac:dyDescent="0.25">
      <c r="B3" s="44" t="s">
        <v>89</v>
      </c>
      <c r="C3" s="75" t="s">
        <v>92</v>
      </c>
      <c r="D3" s="75"/>
      <c r="E3" s="75"/>
    </row>
    <row r="6" spans="2:7" ht="15" x14ac:dyDescent="0.25">
      <c r="B6" s="75" t="s">
        <v>81</v>
      </c>
      <c r="C6" s="75"/>
      <c r="D6" s="75"/>
      <c r="E6" s="75"/>
      <c r="F6" s="75"/>
      <c r="G6" s="75"/>
    </row>
    <row r="7" spans="2:7" ht="15" x14ac:dyDescent="0.2">
      <c r="B7" s="49" t="s">
        <v>59</v>
      </c>
      <c r="C7" s="12">
        <v>2022</v>
      </c>
      <c r="D7" s="8">
        <v>2023</v>
      </c>
      <c r="E7" s="8">
        <v>2024</v>
      </c>
      <c r="F7" s="8">
        <v>2025</v>
      </c>
      <c r="G7" s="8">
        <v>2026</v>
      </c>
    </row>
    <row r="8" spans="2:7" ht="28.5" x14ac:dyDescent="0.2">
      <c r="B8" s="47" t="s">
        <v>61</v>
      </c>
      <c r="C8" s="42">
        <f>+profit!B26+profit!B21</f>
        <v>683288</v>
      </c>
      <c r="D8" s="42">
        <f>+profit!C26+profit!C21</f>
        <v>1435168.0600000028</v>
      </c>
      <c r="E8" s="42">
        <f>+profit!D26+profit!D21</f>
        <v>1862746.9799999897</v>
      </c>
      <c r="F8" s="42">
        <f>+profit!E26+profit!E21</f>
        <v>2167349.5099999942</v>
      </c>
      <c r="G8" s="42">
        <f>+profit!F26+profit!F21</f>
        <v>2459423.8199999998</v>
      </c>
    </row>
    <row r="9" spans="2:7" x14ac:dyDescent="0.2">
      <c r="B9" s="48" t="s">
        <v>84</v>
      </c>
      <c r="C9" s="42">
        <f>+profit!B21</f>
        <v>101530</v>
      </c>
      <c r="D9" s="42">
        <f>+profit!C21</f>
        <v>267258.06000000006</v>
      </c>
      <c r="E9" s="42">
        <f>+profit!D21</f>
        <v>284775</v>
      </c>
      <c r="F9" s="42">
        <f>+profit!E21</f>
        <v>299014</v>
      </c>
      <c r="G9" s="42">
        <f>+profit!F21</f>
        <v>313965</v>
      </c>
    </row>
    <row r="10" spans="2:7" x14ac:dyDescent="0.2">
      <c r="B10" s="48" t="s">
        <v>0</v>
      </c>
      <c r="C10" s="42">
        <f>+profit!B32</f>
        <v>27450</v>
      </c>
      <c r="D10" s="42">
        <f>+profit!C32</f>
        <v>282378</v>
      </c>
      <c r="E10" s="42">
        <f>+profit!D32</f>
        <v>1159149</v>
      </c>
      <c r="F10" s="42">
        <f>+profit!E32</f>
        <v>1438135.59</v>
      </c>
      <c r="G10" s="42">
        <f>+profit!F32</f>
        <v>1227917</v>
      </c>
    </row>
    <row r="11" spans="2:7" ht="15.75" thickBot="1" x14ac:dyDescent="0.3">
      <c r="B11" s="59" t="s">
        <v>62</v>
      </c>
      <c r="C11" s="61">
        <f>+C8-C9-C10</f>
        <v>554308</v>
      </c>
      <c r="D11" s="61">
        <f t="shared" ref="D11:G11" si="0">+D8-D9-D10</f>
        <v>885532.00000000279</v>
      </c>
      <c r="E11" s="61">
        <f t="shared" si="0"/>
        <v>418822.97999998974</v>
      </c>
      <c r="F11" s="61">
        <f t="shared" si="0"/>
        <v>430199.9199999941</v>
      </c>
      <c r="G11" s="61">
        <f t="shared" si="0"/>
        <v>917541.81999999983</v>
      </c>
    </row>
    <row r="12" spans="2:7" ht="15" thickTop="1" x14ac:dyDescent="0.2"/>
    <row r="14" spans="2:7" ht="15" x14ac:dyDescent="0.25">
      <c r="B14" s="75" t="s">
        <v>82</v>
      </c>
      <c r="C14" s="75"/>
      <c r="D14" s="75"/>
      <c r="E14" s="75"/>
      <c r="F14" s="75"/>
      <c r="G14" s="75"/>
    </row>
    <row r="15" spans="2:7" ht="15" x14ac:dyDescent="0.2">
      <c r="B15" s="49" t="s">
        <v>59</v>
      </c>
      <c r="C15" s="12">
        <v>2022</v>
      </c>
      <c r="D15" s="8">
        <v>2023</v>
      </c>
      <c r="E15" s="8">
        <v>2024</v>
      </c>
      <c r="F15" s="8">
        <v>2025</v>
      </c>
      <c r="G15" s="8">
        <v>2026</v>
      </c>
    </row>
    <row r="16" spans="2:7" x14ac:dyDescent="0.2">
      <c r="B16" s="48" t="s">
        <v>63</v>
      </c>
      <c r="C16" s="52">
        <v>3001469</v>
      </c>
      <c r="D16" s="52">
        <f>+C20</f>
        <v>4331644</v>
      </c>
      <c r="E16" s="52">
        <f t="shared" ref="E16:G16" si="1">+D20</f>
        <v>5300718.6500000032</v>
      </c>
      <c r="F16" s="52">
        <f t="shared" si="1"/>
        <v>11368366.629999993</v>
      </c>
      <c r="G16" s="52">
        <f t="shared" si="1"/>
        <v>14436702.139999988</v>
      </c>
    </row>
    <row r="17" spans="2:8" x14ac:dyDescent="0.2">
      <c r="B17" s="48" t="s">
        <v>62</v>
      </c>
      <c r="C17" s="52">
        <v>581758</v>
      </c>
      <c r="D17" s="52">
        <f>+profit!C26</f>
        <v>1167910.0000000028</v>
      </c>
      <c r="E17" s="52">
        <f>+profit!D26</f>
        <v>1577971.9799999897</v>
      </c>
      <c r="F17" s="52">
        <f>+profit!E26</f>
        <v>1868335.5099999942</v>
      </c>
      <c r="G17" s="52">
        <f>+profit!F26</f>
        <v>2145458.8199999998</v>
      </c>
    </row>
    <row r="18" spans="2:8" x14ac:dyDescent="0.2">
      <c r="B18" s="48" t="s">
        <v>64</v>
      </c>
      <c r="C18" s="52">
        <v>324786</v>
      </c>
      <c r="D18" s="52">
        <f>313936.35</f>
        <v>313936.34999999998</v>
      </c>
      <c r="E18" s="52">
        <v>0</v>
      </c>
      <c r="F18" s="52">
        <v>0</v>
      </c>
      <c r="G18" s="52">
        <v>1200000</v>
      </c>
    </row>
    <row r="19" spans="2:8" x14ac:dyDescent="0.2">
      <c r="B19" s="48" t="s">
        <v>85</v>
      </c>
      <c r="C19" s="52">
        <v>1073203</v>
      </c>
      <c r="D19" s="52">
        <v>115101</v>
      </c>
      <c r="E19" s="52">
        <v>4489676</v>
      </c>
      <c r="F19" s="52">
        <v>1200000</v>
      </c>
      <c r="G19" s="52">
        <v>1200000</v>
      </c>
    </row>
    <row r="20" spans="2:8" ht="15.75" thickBot="1" x14ac:dyDescent="0.3">
      <c r="B20" s="59" t="s">
        <v>65</v>
      </c>
      <c r="C20" s="60">
        <f>C16+C17-C18+C19</f>
        <v>4331644</v>
      </c>
      <c r="D20" s="60">
        <f t="shared" ref="D20:G20" si="2">D16+D17-D18+D19</f>
        <v>5300718.6500000032</v>
      </c>
      <c r="E20" s="60">
        <f t="shared" si="2"/>
        <v>11368366.629999993</v>
      </c>
      <c r="F20" s="60">
        <f t="shared" si="2"/>
        <v>14436702.139999988</v>
      </c>
      <c r="G20" s="60">
        <f t="shared" si="2"/>
        <v>16582160.959999988</v>
      </c>
    </row>
    <row r="21" spans="2:8" ht="15" thickTop="1" x14ac:dyDescent="0.2">
      <c r="C21" s="43"/>
      <c r="D21" s="43"/>
      <c r="E21" s="43"/>
      <c r="F21" s="43"/>
      <c r="G21" s="43"/>
    </row>
    <row r="24" spans="2:8" ht="15" x14ac:dyDescent="0.25">
      <c r="B24" s="75" t="s">
        <v>83</v>
      </c>
      <c r="C24" s="75"/>
      <c r="D24" s="75"/>
      <c r="E24" s="75"/>
      <c r="F24" s="75"/>
      <c r="G24" s="75"/>
    </row>
    <row r="25" spans="2:8" ht="15" x14ac:dyDescent="0.2">
      <c r="B25" s="49" t="s">
        <v>59</v>
      </c>
      <c r="C25" s="12">
        <v>2022</v>
      </c>
      <c r="D25" s="8">
        <v>2023</v>
      </c>
      <c r="E25" s="8">
        <v>2024</v>
      </c>
      <c r="F25" s="8">
        <v>2025</v>
      </c>
      <c r="G25" s="8">
        <v>2026</v>
      </c>
    </row>
    <row r="26" spans="2:8" ht="15" x14ac:dyDescent="0.25">
      <c r="B26" s="55" t="s">
        <v>66</v>
      </c>
      <c r="C26" s="56"/>
      <c r="D26" s="56"/>
      <c r="E26" s="56"/>
      <c r="F26" s="56"/>
      <c r="G26" s="56"/>
    </row>
    <row r="27" spans="2:8" x14ac:dyDescent="0.2">
      <c r="B27" s="48" t="s">
        <v>67</v>
      </c>
      <c r="C27" s="52">
        <f>+C20</f>
        <v>4331644</v>
      </c>
      <c r="D27" s="52">
        <f t="shared" ref="D27:G27" si="3">+D20</f>
        <v>5300718.6500000032</v>
      </c>
      <c r="E27" s="52">
        <f t="shared" si="3"/>
        <v>11368366.629999993</v>
      </c>
      <c r="F27" s="52">
        <f t="shared" si="3"/>
        <v>14436702.139999988</v>
      </c>
      <c r="G27" s="52">
        <f t="shared" si="3"/>
        <v>16582160.959999988</v>
      </c>
      <c r="H27" s="43"/>
    </row>
    <row r="28" spans="2:8" x14ac:dyDescent="0.2">
      <c r="B28" s="48"/>
      <c r="C28" s="52"/>
      <c r="D28" s="52"/>
      <c r="E28" s="52"/>
      <c r="F28" s="52"/>
      <c r="G28" s="52"/>
    </row>
    <row r="29" spans="2:8" ht="15" x14ac:dyDescent="0.25">
      <c r="B29" s="55" t="s">
        <v>68</v>
      </c>
      <c r="C29" s="52"/>
      <c r="D29" s="52"/>
      <c r="E29" s="52"/>
      <c r="F29" s="52"/>
      <c r="G29" s="52"/>
    </row>
    <row r="30" spans="2:8" x14ac:dyDescent="0.2">
      <c r="B30" s="48" t="s">
        <v>69</v>
      </c>
      <c r="C30" s="36">
        <v>0</v>
      </c>
      <c r="D30" s="36">
        <v>0</v>
      </c>
      <c r="E30" s="36">
        <f>9528027</f>
        <v>9528027</v>
      </c>
      <c r="F30" s="36">
        <f>4674628+3454600</f>
        <v>8129228</v>
      </c>
      <c r="G30" s="36">
        <f>4897230+2755900</f>
        <v>7653130</v>
      </c>
      <c r="H30" s="43"/>
    </row>
    <row r="31" spans="2:8" x14ac:dyDescent="0.2">
      <c r="B31" s="48" t="s">
        <v>70</v>
      </c>
      <c r="C31" s="36">
        <v>0</v>
      </c>
      <c r="D31" s="36">
        <v>176970</v>
      </c>
      <c r="E31" s="36">
        <v>103946</v>
      </c>
      <c r="F31" s="36">
        <v>109143</v>
      </c>
      <c r="G31" s="36">
        <v>114341</v>
      </c>
      <c r="H31" s="43"/>
    </row>
    <row r="32" spans="2:8" x14ac:dyDescent="0.2">
      <c r="B32" s="48" t="s">
        <v>86</v>
      </c>
      <c r="C32" s="57">
        <v>1317823</v>
      </c>
      <c r="D32" s="57">
        <f>324070.32+5276000</f>
        <v>5600070.3200000003</v>
      </c>
      <c r="E32" s="57">
        <v>3455453</v>
      </c>
      <c r="F32" s="57">
        <v>3628226</v>
      </c>
      <c r="G32" s="58">
        <v>3800998</v>
      </c>
      <c r="H32" s="43"/>
    </row>
    <row r="33" spans="2:8" x14ac:dyDescent="0.2">
      <c r="B33" s="48"/>
      <c r="C33" s="52"/>
      <c r="D33" s="52"/>
      <c r="E33" s="52"/>
      <c r="F33" s="52"/>
      <c r="G33" s="52"/>
    </row>
    <row r="34" spans="2:8" ht="15" x14ac:dyDescent="0.25">
      <c r="B34" s="55" t="s">
        <v>71</v>
      </c>
      <c r="C34" s="52"/>
      <c r="D34" s="52"/>
      <c r="E34" s="52"/>
      <c r="F34" s="52"/>
      <c r="G34" s="52"/>
    </row>
    <row r="35" spans="2:8" x14ac:dyDescent="0.2">
      <c r="B35" s="48" t="s">
        <v>72</v>
      </c>
      <c r="C35" s="57">
        <v>2095622</v>
      </c>
      <c r="D35" s="57">
        <v>10250044.960000001</v>
      </c>
      <c r="E35" s="57">
        <v>11342062</v>
      </c>
      <c r="F35" s="57">
        <v>11909165</v>
      </c>
      <c r="G35" s="57">
        <v>12476268</v>
      </c>
      <c r="H35" s="43"/>
    </row>
    <row r="36" spans="2:8" x14ac:dyDescent="0.2">
      <c r="B36" s="48" t="s">
        <v>73</v>
      </c>
      <c r="C36" s="57">
        <v>202974</v>
      </c>
      <c r="D36" s="57">
        <v>26952</v>
      </c>
      <c r="E36" s="57">
        <v>582910</v>
      </c>
      <c r="F36" s="57">
        <v>612056</v>
      </c>
      <c r="G36" s="57">
        <v>673262</v>
      </c>
      <c r="H36" s="43"/>
    </row>
    <row r="37" spans="2:8" x14ac:dyDescent="0.2">
      <c r="B37" s="48" t="s">
        <v>93</v>
      </c>
      <c r="C37" s="57"/>
      <c r="D37" s="57">
        <v>4618125.43</v>
      </c>
      <c r="E37" s="57">
        <v>5253448</v>
      </c>
      <c r="F37" s="57">
        <f>5096120-0.63</f>
        <v>5096119.37</v>
      </c>
      <c r="G37" s="57">
        <v>5872672</v>
      </c>
      <c r="H37" s="43"/>
    </row>
    <row r="38" spans="2:8" x14ac:dyDescent="0.2">
      <c r="B38" s="48"/>
      <c r="C38" s="52"/>
      <c r="D38" s="52"/>
      <c r="E38" s="52"/>
      <c r="F38" s="52"/>
      <c r="G38" s="52"/>
    </row>
    <row r="39" spans="2:8" ht="15.75" thickBot="1" x14ac:dyDescent="0.3">
      <c r="B39" s="59" t="s">
        <v>90</v>
      </c>
      <c r="C39" s="60">
        <f t="shared" ref="C39:F39" si="4">SUM(C27:C37)</f>
        <v>7948063</v>
      </c>
      <c r="D39" s="60">
        <f t="shared" si="4"/>
        <v>25972881.360000003</v>
      </c>
      <c r="E39" s="60">
        <f t="shared" si="4"/>
        <v>41634212.629999995</v>
      </c>
      <c r="F39" s="60">
        <f t="shared" si="4"/>
        <v>43920639.509999983</v>
      </c>
      <c r="G39" s="60">
        <f>SUM(G27:G37)</f>
        <v>47172831.959999986</v>
      </c>
    </row>
    <row r="40" spans="2:8" ht="15" thickTop="1" x14ac:dyDescent="0.2">
      <c r="B40" s="48"/>
      <c r="C40" s="52"/>
      <c r="D40" s="52"/>
      <c r="E40" s="52"/>
      <c r="F40" s="52"/>
      <c r="G40" s="52"/>
    </row>
    <row r="41" spans="2:8" ht="15" x14ac:dyDescent="0.25">
      <c r="B41" s="55" t="s">
        <v>74</v>
      </c>
      <c r="C41" s="52"/>
      <c r="D41" s="52"/>
      <c r="E41" s="52"/>
      <c r="F41" s="52"/>
      <c r="G41" s="52"/>
    </row>
    <row r="42" spans="2:8" x14ac:dyDescent="0.2">
      <c r="B42" s="48" t="s">
        <v>87</v>
      </c>
      <c r="C42" s="36">
        <v>741490</v>
      </c>
      <c r="D42" s="36">
        <v>4323240.72</v>
      </c>
      <c r="E42" s="36">
        <v>12476765.720000001</v>
      </c>
      <c r="F42" s="36">
        <v>11038630.130000001</v>
      </c>
      <c r="G42" s="36">
        <v>9810112.9600000009</v>
      </c>
    </row>
    <row r="43" spans="2:8" x14ac:dyDescent="0.2">
      <c r="B43" s="48"/>
      <c r="C43" s="52"/>
      <c r="D43" s="52"/>
      <c r="E43" s="52"/>
      <c r="F43" s="52"/>
      <c r="G43" s="52"/>
    </row>
    <row r="44" spans="2:8" x14ac:dyDescent="0.2">
      <c r="B44" s="48" t="s">
        <v>75</v>
      </c>
      <c r="C44" s="52"/>
      <c r="D44" s="52"/>
      <c r="E44" s="52"/>
      <c r="F44" s="52"/>
      <c r="G44" s="52"/>
      <c r="H44" s="43"/>
    </row>
    <row r="45" spans="2:8" x14ac:dyDescent="0.2">
      <c r="B45" s="48"/>
      <c r="C45" s="52"/>
      <c r="D45" s="52"/>
      <c r="E45" s="52"/>
      <c r="F45" s="52"/>
      <c r="G45" s="52"/>
    </row>
    <row r="46" spans="2:8" ht="15" x14ac:dyDescent="0.25">
      <c r="B46" s="55" t="s">
        <v>16</v>
      </c>
      <c r="C46" s="52"/>
      <c r="D46" s="52"/>
      <c r="E46" s="52"/>
      <c r="F46" s="52"/>
      <c r="G46" s="52"/>
    </row>
    <row r="47" spans="2:8" x14ac:dyDescent="0.2">
      <c r="B47" s="48" t="s">
        <v>76</v>
      </c>
      <c r="C47" s="57">
        <v>0</v>
      </c>
      <c r="D47" s="57">
        <v>1271828.96</v>
      </c>
      <c r="E47" s="57">
        <v>442099.96</v>
      </c>
      <c r="F47" s="57">
        <v>464205</v>
      </c>
      <c r="G47" s="57">
        <v>486310</v>
      </c>
      <c r="H47" s="43"/>
    </row>
    <row r="48" spans="2:8" x14ac:dyDescent="0.2">
      <c r="B48" s="48" t="s">
        <v>77</v>
      </c>
      <c r="C48" s="57">
        <v>4496341</v>
      </c>
      <c r="D48" s="57">
        <v>6977928.2599999998</v>
      </c>
      <c r="E48" s="57">
        <v>12078393.289999999</v>
      </c>
      <c r="F48" s="57">
        <v>13877841</v>
      </c>
      <c r="G48" s="57">
        <v>16538461.380000001</v>
      </c>
      <c r="H48" s="43"/>
    </row>
    <row r="49" spans="2:8" x14ac:dyDescent="0.2">
      <c r="B49" s="48" t="s">
        <v>78</v>
      </c>
      <c r="C49" s="57">
        <v>721393</v>
      </c>
      <c r="D49" s="57">
        <v>5635568.4800000004</v>
      </c>
      <c r="E49" s="57">
        <v>13515230</v>
      </c>
      <c r="F49" s="57">
        <v>14190991</v>
      </c>
      <c r="G49" s="57">
        <v>15100540</v>
      </c>
      <c r="H49" s="43"/>
    </row>
    <row r="50" spans="2:8" x14ac:dyDescent="0.2">
      <c r="B50" s="48" t="s">
        <v>79</v>
      </c>
      <c r="C50" s="57">
        <f>525117+619241+12057+1</f>
        <v>1156416</v>
      </c>
      <c r="D50" s="57">
        <f>2684743.12+50000+1525117+10562.76+48821+328147</f>
        <v>4647390.88</v>
      </c>
      <c r="E50" s="57">
        <f>210486+50000+1525117+90541+1700+77304</f>
        <v>1955148</v>
      </c>
      <c r="F50" s="57">
        <f>221010+52500+1601373+100402.55+1785+1146996.83</f>
        <v>3124067.38</v>
      </c>
      <c r="G50" s="57">
        <f>231535+55000+1677629+1210443+1870+1261697+1</f>
        <v>4438175</v>
      </c>
    </row>
    <row r="51" spans="2:8" x14ac:dyDescent="0.2">
      <c r="B51" s="48" t="s">
        <v>80</v>
      </c>
      <c r="C51" s="57">
        <f>463201+369222</f>
        <v>832423</v>
      </c>
      <c r="D51" s="57">
        <f>784147.23+220189.76+2112586.85</f>
        <v>3116923.84</v>
      </c>
      <c r="E51" s="57">
        <f>501014+665561.87</f>
        <v>1166575.8700000001</v>
      </c>
      <c r="F51" s="57">
        <f>526065+698840</f>
        <v>1224905</v>
      </c>
      <c r="G51" s="57">
        <f>732118+67115</f>
        <v>799233</v>
      </c>
    </row>
    <row r="52" spans="2:8" x14ac:dyDescent="0.2">
      <c r="B52" s="48"/>
      <c r="C52" s="52"/>
      <c r="D52" s="52"/>
      <c r="E52" s="52"/>
      <c r="F52" s="52"/>
      <c r="G52" s="52"/>
    </row>
    <row r="53" spans="2:8" ht="15.75" thickBot="1" x14ac:dyDescent="0.3">
      <c r="B53" s="59" t="s">
        <v>91</v>
      </c>
      <c r="C53" s="60">
        <f>SUM(C42:C51)</f>
        <v>7948063</v>
      </c>
      <c r="D53" s="60">
        <f>SUM(D42:D51)</f>
        <v>25972881.140000001</v>
      </c>
      <c r="E53" s="60">
        <f>SUM(E42:E51)</f>
        <v>41634212.839999996</v>
      </c>
      <c r="F53" s="60">
        <f>SUM(F42:F51)</f>
        <v>43920639.510000005</v>
      </c>
      <c r="G53" s="60">
        <f>SUM(G42:G51)</f>
        <v>47172832.340000004</v>
      </c>
    </row>
    <row r="54" spans="2:8" ht="21" thickTop="1" x14ac:dyDescent="0.3">
      <c r="B54" s="41"/>
      <c r="C54" s="54"/>
      <c r="D54" s="54"/>
      <c r="E54" s="54"/>
      <c r="F54" s="54"/>
      <c r="G54" s="54"/>
    </row>
    <row r="56" spans="2:8" ht="23.25" x14ac:dyDescent="0.35">
      <c r="B56" s="40"/>
      <c r="E56" s="41"/>
    </row>
    <row r="57" spans="2:8" ht="23.25" x14ac:dyDescent="0.35">
      <c r="B57" s="40"/>
      <c r="E57" s="41"/>
    </row>
    <row r="58" spans="2:8" ht="23.25" x14ac:dyDescent="0.35">
      <c r="B58" s="40"/>
      <c r="E58" s="41"/>
    </row>
    <row r="59" spans="2:8" ht="20.25" x14ac:dyDescent="0.3">
      <c r="E59" s="41"/>
    </row>
  </sheetData>
  <mergeCells count="4">
    <mergeCell ref="B6:G6"/>
    <mergeCell ref="B14:G14"/>
    <mergeCell ref="B24:G24"/>
    <mergeCell ref="C3:E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profit</vt:lpstr>
      <vt:lpstr>Cash</vt:lpstr>
      <vt:lpstr>Balance sheet </vt:lpstr>
      <vt:lpstr>Cash!Print_Area</vt:lpstr>
      <vt:lpstr>profit!Print_Area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Subramanya</dc:creator>
  <cp:lastModifiedBy>Tax Sarthi</cp:lastModifiedBy>
  <cp:lastPrinted>2024-01-13T04:01:06Z</cp:lastPrinted>
  <dcterms:created xsi:type="dcterms:W3CDTF">2001-03-09T05:50:55Z</dcterms:created>
  <dcterms:modified xsi:type="dcterms:W3CDTF">2024-01-13T04:01:32Z</dcterms:modified>
</cp:coreProperties>
</file>